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0" yWindow="1170" windowWidth="17940" windowHeight="9060"/>
  </bookViews>
  <sheets>
    <sheet name="Geral" sheetId="13" r:id="rId1"/>
    <sheet name="Financeiro" sheetId="17" r:id="rId2"/>
    <sheet name="Previdenciário" sheetId="18" r:id="rId3"/>
    <sheet name="Trimestral" sheetId="3" r:id="rId4"/>
    <sheet name="Gráfico Geral" sheetId="14" r:id="rId5"/>
    <sheet name="Gráfico Trimestral" sheetId="15" r:id="rId6"/>
    <sheet name="Dados" sheetId="16" state="hidden" r:id="rId7"/>
  </sheets>
  <definedNames>
    <definedName name="_xlnm.Print_Area" localSheetId="1">Financeiro!$A$2:$Q$32</definedName>
    <definedName name="_xlnm.Print_Area" localSheetId="0">Geral!$A$1:$Q$55</definedName>
    <definedName name="_xlnm.Print_Area" localSheetId="4">'Gráfico Geral'!$A$1:$M$60</definedName>
    <definedName name="_xlnm.Print_Area" localSheetId="5">'Gráfico Trimestral'!$A$1:$M$60</definedName>
    <definedName name="_xlnm.Print_Area" localSheetId="2">Previdenciário!$A$2:$Q$26</definedName>
  </definedNames>
  <calcPr calcId="144525"/>
</workbook>
</file>

<file path=xl/calcChain.xml><?xml version="1.0" encoding="utf-8"?>
<calcChain xmlns="http://schemas.openxmlformats.org/spreadsheetml/2006/main">
  <c r="Q50" i="13" l="1"/>
  <c r="Q51" i="13"/>
  <c r="Q52" i="13"/>
  <c r="Q53" i="13"/>
  <c r="Q49" i="13"/>
  <c r="Q45" i="13"/>
  <c r="Q46" i="13"/>
  <c r="Q44" i="13"/>
  <c r="E25" i="13" l="1"/>
  <c r="F25" i="13"/>
  <c r="G25" i="13"/>
  <c r="H25" i="13"/>
  <c r="I25" i="13"/>
  <c r="J25" i="13"/>
  <c r="K25" i="13"/>
  <c r="L25" i="13"/>
  <c r="M25" i="13"/>
  <c r="N25" i="13"/>
  <c r="O25" i="13"/>
  <c r="P25" i="13"/>
  <c r="F62" i="13"/>
  <c r="G62" i="13"/>
  <c r="H62" i="13"/>
  <c r="I62" i="13"/>
  <c r="J62" i="13"/>
  <c r="K62" i="13"/>
  <c r="L62" i="13"/>
  <c r="M62" i="13"/>
  <c r="N62" i="13"/>
  <c r="O62" i="13"/>
  <c r="P62" i="13"/>
  <c r="E62" i="13"/>
  <c r="F59" i="13"/>
  <c r="G59" i="13"/>
  <c r="H59" i="13"/>
  <c r="I59" i="13"/>
  <c r="J59" i="13"/>
  <c r="K59" i="13"/>
  <c r="L59" i="13"/>
  <c r="M59" i="13"/>
  <c r="N59" i="13"/>
  <c r="O59" i="13"/>
  <c r="P59" i="13"/>
  <c r="E59" i="13"/>
  <c r="I2" i="16"/>
  <c r="I16" i="3" s="1"/>
  <c r="I3" i="16"/>
  <c r="J16" i="3" s="1"/>
  <c r="I4" i="16"/>
  <c r="K16" i="3" s="1"/>
  <c r="I5" i="16"/>
  <c r="I6" i="16"/>
  <c r="I7" i="16"/>
  <c r="I8" i="16"/>
  <c r="I9" i="16"/>
  <c r="I10" i="16"/>
  <c r="I11" i="16"/>
  <c r="I12" i="16"/>
  <c r="I13" i="16"/>
  <c r="H2" i="16"/>
  <c r="I15" i="3" s="1"/>
  <c r="H3" i="16"/>
  <c r="J15" i="3" s="1"/>
  <c r="H4" i="16"/>
  <c r="K15" i="3" s="1"/>
  <c r="H5" i="16"/>
  <c r="H6" i="16"/>
  <c r="H7" i="16"/>
  <c r="H8" i="16"/>
  <c r="H9" i="16"/>
  <c r="H10" i="16"/>
  <c r="H11" i="16"/>
  <c r="H12" i="16"/>
  <c r="H13" i="16"/>
  <c r="G2" i="16"/>
  <c r="I14" i="3" s="1"/>
  <c r="G3" i="16"/>
  <c r="J14" i="3" s="1"/>
  <c r="G4" i="16"/>
  <c r="K14" i="3" s="1"/>
  <c r="G5" i="16"/>
  <c r="G6" i="16"/>
  <c r="G7" i="16"/>
  <c r="G8" i="16"/>
  <c r="G9" i="16"/>
  <c r="G10" i="16"/>
  <c r="G11" i="16"/>
  <c r="G12" i="16"/>
  <c r="G13" i="16"/>
  <c r="F12" i="16"/>
  <c r="F11" i="16"/>
  <c r="F10" i="16"/>
  <c r="F9" i="16"/>
  <c r="F8" i="16"/>
  <c r="F7" i="16"/>
  <c r="F6" i="16"/>
  <c r="F5" i="16"/>
  <c r="F4" i="16"/>
  <c r="F3" i="16"/>
  <c r="F2" i="16"/>
  <c r="I13" i="3" s="1"/>
  <c r="J2" i="16"/>
  <c r="I18" i="3" s="1"/>
  <c r="J3" i="16"/>
  <c r="J18" i="3" s="1"/>
  <c r="A16" i="3"/>
  <c r="A15" i="3"/>
  <c r="A14" i="3"/>
  <c r="E9" i="17"/>
  <c r="F9" i="18"/>
  <c r="G9" i="18"/>
  <c r="H9" i="18"/>
  <c r="I9" i="18"/>
  <c r="J9" i="18"/>
  <c r="K9" i="18"/>
  <c r="L9" i="18"/>
  <c r="M9" i="18"/>
  <c r="N9" i="18"/>
  <c r="O9" i="18"/>
  <c r="P9" i="18"/>
  <c r="F8" i="18"/>
  <c r="G8" i="18"/>
  <c r="H8" i="18"/>
  <c r="I8" i="18"/>
  <c r="J8" i="18"/>
  <c r="K8" i="18"/>
  <c r="L8" i="18"/>
  <c r="M8" i="18"/>
  <c r="N8" i="18"/>
  <c r="O8" i="18"/>
  <c r="P8" i="18"/>
  <c r="E9" i="18"/>
  <c r="E8" i="18"/>
  <c r="F9" i="17"/>
  <c r="G9" i="17"/>
  <c r="H9" i="17"/>
  <c r="I9" i="17"/>
  <c r="J9" i="17"/>
  <c r="K9" i="17"/>
  <c r="L9" i="17"/>
  <c r="M9" i="17"/>
  <c r="N9" i="17"/>
  <c r="O9" i="17"/>
  <c r="P9" i="17"/>
  <c r="E8" i="17"/>
  <c r="Q9" i="18" l="1"/>
  <c r="Q25" i="13"/>
  <c r="Q8" i="18"/>
  <c r="Q9" i="17"/>
  <c r="L16" i="3"/>
  <c r="L14" i="3"/>
  <c r="L15" i="3"/>
  <c r="Q12" i="13"/>
  <c r="Q11" i="13"/>
  <c r="Q10" i="13"/>
  <c r="A5" i="3" l="1"/>
  <c r="F13" i="18" l="1"/>
  <c r="G13" i="18"/>
  <c r="H13" i="18"/>
  <c r="I13" i="18"/>
  <c r="J13" i="18"/>
  <c r="K13" i="18"/>
  <c r="L13" i="18"/>
  <c r="M13" i="18"/>
  <c r="N13" i="18"/>
  <c r="O13" i="18"/>
  <c r="P13" i="18"/>
  <c r="F14" i="18"/>
  <c r="G14" i="18"/>
  <c r="H14" i="18"/>
  <c r="I14" i="18"/>
  <c r="J14" i="18"/>
  <c r="K14" i="18"/>
  <c r="L14" i="18"/>
  <c r="M14" i="18"/>
  <c r="N14" i="18"/>
  <c r="O14" i="18"/>
  <c r="P14" i="18"/>
  <c r="F15" i="18"/>
  <c r="G15" i="18"/>
  <c r="H15" i="18"/>
  <c r="I15" i="18"/>
  <c r="J15" i="18"/>
  <c r="K15" i="18"/>
  <c r="L15" i="18"/>
  <c r="M15" i="18"/>
  <c r="N15" i="18"/>
  <c r="O15" i="18"/>
  <c r="P15" i="18"/>
  <c r="F16" i="18"/>
  <c r="G16" i="18"/>
  <c r="H16" i="18"/>
  <c r="I16" i="18"/>
  <c r="J16" i="18"/>
  <c r="K16" i="18"/>
  <c r="L16" i="18"/>
  <c r="M16" i="18"/>
  <c r="N16" i="18"/>
  <c r="O16" i="18"/>
  <c r="P16" i="18"/>
  <c r="F17" i="18"/>
  <c r="G17" i="18"/>
  <c r="H17" i="18"/>
  <c r="I17" i="18"/>
  <c r="J17" i="18"/>
  <c r="K17" i="18"/>
  <c r="L17" i="18"/>
  <c r="M17" i="18"/>
  <c r="N17" i="18"/>
  <c r="O17" i="18"/>
  <c r="P17" i="18"/>
  <c r="E17" i="18"/>
  <c r="E16" i="18"/>
  <c r="E15" i="18"/>
  <c r="E14" i="18"/>
  <c r="E13" i="18"/>
  <c r="F4" i="18"/>
  <c r="G4" i="18"/>
  <c r="H4" i="18"/>
  <c r="I4" i="18"/>
  <c r="I10" i="18" s="1"/>
  <c r="J4" i="18"/>
  <c r="K4" i="18"/>
  <c r="L4" i="18"/>
  <c r="M4" i="18"/>
  <c r="M10" i="18" s="1"/>
  <c r="N4" i="18"/>
  <c r="O4" i="18"/>
  <c r="P4" i="18"/>
  <c r="F5" i="18"/>
  <c r="F10" i="18" s="1"/>
  <c r="G5" i="18"/>
  <c r="H5" i="18"/>
  <c r="I5" i="18"/>
  <c r="J5" i="18"/>
  <c r="K5" i="18"/>
  <c r="L5" i="18"/>
  <c r="M5" i="18"/>
  <c r="N5" i="18"/>
  <c r="O5" i="18"/>
  <c r="P5" i="18"/>
  <c r="F6" i="18"/>
  <c r="G6" i="18"/>
  <c r="H6" i="18"/>
  <c r="I6" i="18"/>
  <c r="J6" i="18"/>
  <c r="K6" i="18"/>
  <c r="L6" i="18"/>
  <c r="M6" i="18"/>
  <c r="N6" i="18"/>
  <c r="O6" i="18"/>
  <c r="P6" i="18"/>
  <c r="F7" i="18"/>
  <c r="G7" i="18"/>
  <c r="H7" i="18"/>
  <c r="I7" i="18"/>
  <c r="J7" i="18"/>
  <c r="K7" i="18"/>
  <c r="L7" i="18"/>
  <c r="M7" i="18"/>
  <c r="N7" i="18"/>
  <c r="O7" i="18"/>
  <c r="P7" i="18"/>
  <c r="E7" i="18"/>
  <c r="E6" i="18"/>
  <c r="E5" i="18"/>
  <c r="E4" i="18"/>
  <c r="E10" i="18" s="1"/>
  <c r="F18" i="17"/>
  <c r="G18" i="17"/>
  <c r="H18" i="17"/>
  <c r="I18" i="17"/>
  <c r="J18" i="17"/>
  <c r="K18" i="17"/>
  <c r="L18" i="17"/>
  <c r="M18" i="17"/>
  <c r="N18" i="17"/>
  <c r="O18" i="17"/>
  <c r="P18" i="17"/>
  <c r="F19" i="17"/>
  <c r="G19" i="17"/>
  <c r="H19" i="17"/>
  <c r="I19" i="17"/>
  <c r="J19" i="17"/>
  <c r="K19" i="17"/>
  <c r="L19" i="17"/>
  <c r="M19" i="17"/>
  <c r="N19" i="17"/>
  <c r="O19" i="17"/>
  <c r="P19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22" i="17"/>
  <c r="G22" i="17"/>
  <c r="H22" i="17"/>
  <c r="I22" i="17"/>
  <c r="J22" i="17"/>
  <c r="K22" i="17"/>
  <c r="L22" i="17"/>
  <c r="M22" i="17"/>
  <c r="N22" i="17"/>
  <c r="O22" i="17"/>
  <c r="P22" i="17"/>
  <c r="F23" i="17"/>
  <c r="G23" i="17"/>
  <c r="H23" i="17"/>
  <c r="I23" i="17"/>
  <c r="J23" i="17"/>
  <c r="K23" i="17"/>
  <c r="L23" i="17"/>
  <c r="M23" i="17"/>
  <c r="N23" i="17"/>
  <c r="O23" i="17"/>
  <c r="P23" i="17"/>
  <c r="F24" i="17"/>
  <c r="G24" i="17"/>
  <c r="H24" i="17"/>
  <c r="I24" i="17"/>
  <c r="J24" i="17"/>
  <c r="K24" i="17"/>
  <c r="L24" i="17"/>
  <c r="M24" i="17"/>
  <c r="N24" i="17"/>
  <c r="O24" i="17"/>
  <c r="P24" i="17"/>
  <c r="E24" i="17"/>
  <c r="E23" i="17"/>
  <c r="E22" i="17"/>
  <c r="E21" i="17"/>
  <c r="E20" i="17"/>
  <c r="E19" i="17"/>
  <c r="E18" i="17"/>
  <c r="F12" i="17"/>
  <c r="G12" i="17"/>
  <c r="H12" i="17"/>
  <c r="I12" i="17"/>
  <c r="J12" i="17"/>
  <c r="K12" i="17"/>
  <c r="L12" i="17"/>
  <c r="M12" i="17"/>
  <c r="N12" i="17"/>
  <c r="O12" i="17"/>
  <c r="P12" i="17"/>
  <c r="F13" i="17"/>
  <c r="G13" i="17"/>
  <c r="H13" i="17"/>
  <c r="I13" i="17"/>
  <c r="J13" i="17"/>
  <c r="K13" i="17"/>
  <c r="L13" i="17"/>
  <c r="M13" i="17"/>
  <c r="N13" i="17"/>
  <c r="O13" i="17"/>
  <c r="P13" i="17"/>
  <c r="F14" i="17"/>
  <c r="G14" i="17"/>
  <c r="H14" i="17"/>
  <c r="I14" i="17"/>
  <c r="J14" i="17"/>
  <c r="K14" i="17"/>
  <c r="L14" i="17"/>
  <c r="M14" i="17"/>
  <c r="N14" i="17"/>
  <c r="O14" i="17"/>
  <c r="P14" i="17"/>
  <c r="E14" i="17"/>
  <c r="E13" i="17"/>
  <c r="E12" i="17"/>
  <c r="G8" i="17"/>
  <c r="H8" i="17"/>
  <c r="I8" i="17"/>
  <c r="J8" i="17"/>
  <c r="K8" i="17"/>
  <c r="L8" i="17"/>
  <c r="M8" i="17"/>
  <c r="N8" i="17"/>
  <c r="O8" i="17"/>
  <c r="P8" i="17"/>
  <c r="F8" i="17"/>
  <c r="F7" i="17"/>
  <c r="G7" i="17"/>
  <c r="H7" i="17"/>
  <c r="I7" i="17"/>
  <c r="J7" i="17"/>
  <c r="K7" i="17"/>
  <c r="L7" i="17"/>
  <c r="M7" i="17"/>
  <c r="N7" i="17"/>
  <c r="O7" i="17"/>
  <c r="P7" i="17"/>
  <c r="E7" i="17"/>
  <c r="F6" i="17"/>
  <c r="G6" i="17"/>
  <c r="H6" i="17"/>
  <c r="I6" i="17"/>
  <c r="J6" i="17"/>
  <c r="K6" i="17"/>
  <c r="L6" i="17"/>
  <c r="M6" i="17"/>
  <c r="N6" i="17"/>
  <c r="O6" i="17"/>
  <c r="P6" i="17"/>
  <c r="E6" i="17"/>
  <c r="F5" i="17"/>
  <c r="G5" i="17"/>
  <c r="H5" i="17"/>
  <c r="I5" i="17"/>
  <c r="J5" i="17"/>
  <c r="K5" i="17"/>
  <c r="L5" i="17"/>
  <c r="M5" i="17"/>
  <c r="N5" i="17"/>
  <c r="O5" i="17"/>
  <c r="P5" i="17"/>
  <c r="E5" i="17"/>
  <c r="F4" i="17"/>
  <c r="G4" i="17"/>
  <c r="H4" i="17"/>
  <c r="I4" i="17"/>
  <c r="J4" i="17"/>
  <c r="J15" i="17" s="1"/>
  <c r="K4" i="17"/>
  <c r="L4" i="17"/>
  <c r="M4" i="17"/>
  <c r="N4" i="17"/>
  <c r="N15" i="17" s="1"/>
  <c r="O4" i="17"/>
  <c r="P4" i="17"/>
  <c r="E4" i="17"/>
  <c r="A57" i="3"/>
  <c r="A50" i="3"/>
  <c r="A49" i="3"/>
  <c r="A48" i="3"/>
  <c r="A43" i="3"/>
  <c r="A42" i="3"/>
  <c r="A41" i="3"/>
  <c r="A40" i="3"/>
  <c r="A39" i="3"/>
  <c r="A38" i="3"/>
  <c r="A37" i="3"/>
  <c r="A36" i="3"/>
  <c r="A35" i="3"/>
  <c r="A34" i="3"/>
  <c r="A33" i="3"/>
  <c r="A32" i="3"/>
  <c r="A28" i="3"/>
  <c r="A26" i="3"/>
  <c r="A25" i="3"/>
  <c r="A22" i="3"/>
  <c r="A21" i="3"/>
  <c r="A19" i="3"/>
  <c r="A18" i="3"/>
  <c r="A13" i="3"/>
  <c r="A12" i="3"/>
  <c r="A11" i="3"/>
  <c r="A10" i="3"/>
  <c r="A9" i="3"/>
  <c r="AI2" i="16"/>
  <c r="I56" i="3" s="1"/>
  <c r="AI3" i="16"/>
  <c r="J56" i="3" s="1"/>
  <c r="AI4" i="16"/>
  <c r="K56" i="3" s="1"/>
  <c r="AI5" i="16"/>
  <c r="AI6" i="16"/>
  <c r="AI7" i="16"/>
  <c r="AI8" i="16"/>
  <c r="AI9" i="16"/>
  <c r="AI10" i="16"/>
  <c r="AI11" i="16"/>
  <c r="AI12" i="16"/>
  <c r="AI13" i="16"/>
  <c r="AH2" i="16"/>
  <c r="I55" i="3" s="1"/>
  <c r="AH3" i="16"/>
  <c r="J55" i="3" s="1"/>
  <c r="AH4" i="16"/>
  <c r="K55" i="3" s="1"/>
  <c r="AH5" i="16"/>
  <c r="AH6" i="16"/>
  <c r="AH7" i="16"/>
  <c r="AH8" i="16"/>
  <c r="AH9" i="16"/>
  <c r="AH10" i="16"/>
  <c r="AH11" i="16"/>
  <c r="AH12" i="16"/>
  <c r="AH13" i="16"/>
  <c r="AJ2" i="16"/>
  <c r="I57" i="3" s="1"/>
  <c r="A54" i="3"/>
  <c r="A53" i="3"/>
  <c r="A56" i="3"/>
  <c r="A55" i="3"/>
  <c r="AA13" i="16"/>
  <c r="AA12" i="16"/>
  <c r="AA11" i="16"/>
  <c r="AA10" i="16"/>
  <c r="AA9" i="16"/>
  <c r="AA8" i="16"/>
  <c r="AA7" i="16"/>
  <c r="AA6" i="16"/>
  <c r="AA5" i="16"/>
  <c r="AA4" i="16"/>
  <c r="K42" i="3" s="1"/>
  <c r="AA3" i="16"/>
  <c r="J42" i="3" s="1"/>
  <c r="AA2" i="16"/>
  <c r="I42" i="3" s="1"/>
  <c r="AB2" i="16"/>
  <c r="I43" i="3" s="1"/>
  <c r="AB4" i="16"/>
  <c r="K43" i="3" s="1"/>
  <c r="AB5" i="16"/>
  <c r="AB6" i="16"/>
  <c r="AB7" i="16"/>
  <c r="AB8" i="16"/>
  <c r="AB9" i="16"/>
  <c r="AB10" i="16"/>
  <c r="AB11" i="16"/>
  <c r="AB12" i="16"/>
  <c r="AB13" i="16"/>
  <c r="AB3" i="16"/>
  <c r="J43" i="3" s="1"/>
  <c r="Q38" i="13"/>
  <c r="A25" i="18"/>
  <c r="A32" i="17"/>
  <c r="E15" i="17" l="1"/>
  <c r="M15" i="17"/>
  <c r="I15" i="17"/>
  <c r="I29" i="17" s="1"/>
  <c r="P10" i="18"/>
  <c r="L10" i="18"/>
  <c r="H10" i="18"/>
  <c r="H22" i="18" s="1"/>
  <c r="P15" i="17"/>
  <c r="P29" i="17" s="1"/>
  <c r="L15" i="17"/>
  <c r="L29" i="17" s="1"/>
  <c r="H15" i="17"/>
  <c r="H29" i="17" s="1"/>
  <c r="O10" i="18"/>
  <c r="O22" i="18" s="1"/>
  <c r="K10" i="18"/>
  <c r="K22" i="18" s="1"/>
  <c r="G10" i="18"/>
  <c r="G22" i="18" s="1"/>
  <c r="O15" i="17"/>
  <c r="K15" i="17"/>
  <c r="G15" i="17"/>
  <c r="G29" i="17" s="1"/>
  <c r="N10" i="18"/>
  <c r="J10" i="18"/>
  <c r="F15" i="17"/>
  <c r="E18" i="18"/>
  <c r="E23" i="18" s="1"/>
  <c r="Q17" i="18"/>
  <c r="I18" i="18"/>
  <c r="I23" i="18" s="1"/>
  <c r="Q15" i="18"/>
  <c r="O18" i="18"/>
  <c r="O23" i="18" s="1"/>
  <c r="K18" i="18"/>
  <c r="K23" i="18" s="1"/>
  <c r="G18" i="18"/>
  <c r="G23" i="18" s="1"/>
  <c r="M18" i="18"/>
  <c r="M23" i="18" s="1"/>
  <c r="Q16" i="18"/>
  <c r="Q14" i="18"/>
  <c r="N18" i="18"/>
  <c r="N23" i="18" s="1"/>
  <c r="J18" i="18"/>
  <c r="J23" i="18" s="1"/>
  <c r="F18" i="18"/>
  <c r="F23" i="18" s="1"/>
  <c r="Q7" i="18"/>
  <c r="E22" i="18"/>
  <c r="N22" i="18"/>
  <c r="J22" i="18"/>
  <c r="J24" i="18" s="1"/>
  <c r="F22" i="18"/>
  <c r="M22" i="18"/>
  <c r="I22" i="18"/>
  <c r="Q6" i="18"/>
  <c r="Q5" i="18"/>
  <c r="Q4" i="18"/>
  <c r="P22" i="18"/>
  <c r="L22" i="18"/>
  <c r="P18" i="18"/>
  <c r="P23" i="18" s="1"/>
  <c r="L18" i="18"/>
  <c r="L23" i="18" s="1"/>
  <c r="H18" i="18"/>
  <c r="Q13" i="18"/>
  <c r="E29" i="17"/>
  <c r="Q19" i="17"/>
  <c r="Q23" i="17"/>
  <c r="Q7" i="17"/>
  <c r="Q14" i="17"/>
  <c r="Q24" i="17"/>
  <c r="N25" i="17"/>
  <c r="N30" i="17" s="1"/>
  <c r="F25" i="17"/>
  <c r="F30" i="17" s="1"/>
  <c r="I25" i="17"/>
  <c r="I30" i="17" s="1"/>
  <c r="L25" i="17"/>
  <c r="L30" i="17" s="1"/>
  <c r="G25" i="17"/>
  <c r="G30" i="17" s="1"/>
  <c r="Q8" i="17"/>
  <c r="Q6" i="17"/>
  <c r="Q20" i="17"/>
  <c r="Q22" i="17"/>
  <c r="J25" i="17"/>
  <c r="J30" i="17" s="1"/>
  <c r="M25" i="17"/>
  <c r="M30" i="17" s="1"/>
  <c r="P25" i="17"/>
  <c r="P30" i="17" s="1"/>
  <c r="H25" i="17"/>
  <c r="H30" i="17" s="1"/>
  <c r="O25" i="17"/>
  <c r="O30" i="17" s="1"/>
  <c r="K25" i="17"/>
  <c r="K30" i="17" s="1"/>
  <c r="Q5" i="17"/>
  <c r="Q21" i="17"/>
  <c r="Q4" i="17"/>
  <c r="Q13" i="17"/>
  <c r="Q18" i="17"/>
  <c r="Q12" i="17"/>
  <c r="E25" i="17"/>
  <c r="E30" i="17" s="1"/>
  <c r="N24" i="18" l="1"/>
  <c r="Q10" i="18"/>
  <c r="Q22" i="18" s="1"/>
  <c r="F24" i="18"/>
  <c r="Q15" i="17"/>
  <c r="E24" i="18"/>
  <c r="G24" i="18"/>
  <c r="P24" i="18"/>
  <c r="I24" i="18"/>
  <c r="O24" i="18"/>
  <c r="Q18" i="18"/>
  <c r="Q23" i="18" s="1"/>
  <c r="M24" i="18"/>
  <c r="K24" i="18"/>
  <c r="L24" i="18"/>
  <c r="H23" i="18"/>
  <c r="H24" i="18" s="1"/>
  <c r="K29" i="17"/>
  <c r="K31" i="17" s="1"/>
  <c r="J29" i="17"/>
  <c r="J31" i="17" s="1"/>
  <c r="M29" i="17"/>
  <c r="M31" i="17" s="1"/>
  <c r="O29" i="17"/>
  <c r="O31" i="17" s="1"/>
  <c r="N29" i="17"/>
  <c r="N31" i="17" s="1"/>
  <c r="F29" i="17"/>
  <c r="F31" i="17" s="1"/>
  <c r="H31" i="17"/>
  <c r="E31" i="17"/>
  <c r="L31" i="17"/>
  <c r="G31" i="17"/>
  <c r="I31" i="17"/>
  <c r="P31" i="17"/>
  <c r="Q25" i="17"/>
  <c r="Q30" i="17" s="1"/>
  <c r="F65" i="13"/>
  <c r="G65" i="13"/>
  <c r="H65" i="13"/>
  <c r="I65" i="13"/>
  <c r="J65" i="13"/>
  <c r="K65" i="13"/>
  <c r="L65" i="13"/>
  <c r="M65" i="13"/>
  <c r="N65" i="13"/>
  <c r="O65" i="13"/>
  <c r="P65" i="13"/>
  <c r="E65" i="13"/>
  <c r="F66" i="13"/>
  <c r="G66" i="13"/>
  <c r="H66" i="13"/>
  <c r="I66" i="13"/>
  <c r="J66" i="13"/>
  <c r="K66" i="13"/>
  <c r="L66" i="13"/>
  <c r="M66" i="13"/>
  <c r="N66" i="13"/>
  <c r="O66" i="13"/>
  <c r="P66" i="13"/>
  <c r="E66" i="13"/>
  <c r="F63" i="13"/>
  <c r="G63" i="13"/>
  <c r="H63" i="13"/>
  <c r="I63" i="13"/>
  <c r="J63" i="13"/>
  <c r="K63" i="13"/>
  <c r="L63" i="13"/>
  <c r="M63" i="13"/>
  <c r="N63" i="13"/>
  <c r="O63" i="13"/>
  <c r="P63" i="13"/>
  <c r="E63" i="13"/>
  <c r="F60" i="13"/>
  <c r="G60" i="13"/>
  <c r="H60" i="13"/>
  <c r="I60" i="13"/>
  <c r="J60" i="13"/>
  <c r="K60" i="13"/>
  <c r="L60" i="13"/>
  <c r="M60" i="13"/>
  <c r="N60" i="13"/>
  <c r="O60" i="13"/>
  <c r="P60" i="13"/>
  <c r="E60" i="13"/>
  <c r="Q24" i="18" l="1"/>
  <c r="Q29" i="17"/>
  <c r="Q31" i="17" s="1"/>
  <c r="AJ3" i="16"/>
  <c r="J57" i="3" s="1"/>
  <c r="AJ4" i="16"/>
  <c r="K57" i="3" s="1"/>
  <c r="AJ5" i="16"/>
  <c r="AJ6" i="16"/>
  <c r="AJ7" i="16"/>
  <c r="AJ8" i="16"/>
  <c r="AJ9" i="16"/>
  <c r="AJ10" i="16"/>
  <c r="AJ11" i="16"/>
  <c r="AJ12" i="16"/>
  <c r="AJ13" i="16"/>
  <c r="AG2" i="16"/>
  <c r="I54" i="3" s="1"/>
  <c r="AG3" i="16"/>
  <c r="J54" i="3" s="1"/>
  <c r="AG4" i="16"/>
  <c r="K54" i="3" s="1"/>
  <c r="AG5" i="16"/>
  <c r="AG6" i="16"/>
  <c r="AG7" i="16"/>
  <c r="AG8" i="16"/>
  <c r="AG9" i="16"/>
  <c r="AG10" i="16"/>
  <c r="AG11" i="16"/>
  <c r="AG12" i="16"/>
  <c r="AG13" i="16"/>
  <c r="AF2" i="16"/>
  <c r="I53" i="3" s="1"/>
  <c r="AF3" i="16"/>
  <c r="J53" i="3" s="1"/>
  <c r="AF4" i="16"/>
  <c r="K53" i="3" s="1"/>
  <c r="AF5" i="16"/>
  <c r="AF6" i="16"/>
  <c r="AF7" i="16"/>
  <c r="AF8" i="16"/>
  <c r="AF9" i="16"/>
  <c r="AF10" i="16"/>
  <c r="AF11" i="16"/>
  <c r="AF12" i="16"/>
  <c r="AF13" i="16"/>
  <c r="AE2" i="16"/>
  <c r="I50" i="3" s="1"/>
  <c r="AE3" i="16"/>
  <c r="J50" i="3" s="1"/>
  <c r="AE4" i="16"/>
  <c r="K50" i="3" s="1"/>
  <c r="AE5" i="16"/>
  <c r="AE6" i="16"/>
  <c r="AE7" i="16"/>
  <c r="AE8" i="16"/>
  <c r="AE9" i="16"/>
  <c r="AE10" i="16"/>
  <c r="AE11" i="16"/>
  <c r="AE12" i="16"/>
  <c r="AE13" i="16"/>
  <c r="AD2" i="16"/>
  <c r="I49" i="3" s="1"/>
  <c r="AD3" i="16"/>
  <c r="J49" i="3" s="1"/>
  <c r="AD4" i="16"/>
  <c r="K49" i="3" s="1"/>
  <c r="AD5" i="16"/>
  <c r="AD6" i="16"/>
  <c r="AD7" i="16"/>
  <c r="AD8" i="16"/>
  <c r="AD9" i="16"/>
  <c r="AD10" i="16"/>
  <c r="AD11" i="16"/>
  <c r="AD12" i="16"/>
  <c r="AD13" i="16"/>
  <c r="AC2" i="16"/>
  <c r="I48" i="3" s="1"/>
  <c r="AC3" i="16"/>
  <c r="J48" i="3" s="1"/>
  <c r="AC4" i="16"/>
  <c r="K48" i="3" s="1"/>
  <c r="AC5" i="16"/>
  <c r="AC6" i="16"/>
  <c r="AC7" i="16"/>
  <c r="AC8" i="16"/>
  <c r="AC9" i="16"/>
  <c r="AC10" i="16"/>
  <c r="AC11" i="16"/>
  <c r="AC12" i="16"/>
  <c r="AC13" i="16"/>
  <c r="Z2" i="16"/>
  <c r="I41" i="3" s="1"/>
  <c r="Z3" i="16"/>
  <c r="J41" i="3" s="1"/>
  <c r="Z4" i="16"/>
  <c r="K41" i="3" s="1"/>
  <c r="Z5" i="16"/>
  <c r="Z6" i="16"/>
  <c r="Z7" i="16"/>
  <c r="Z8" i="16"/>
  <c r="Z9" i="16"/>
  <c r="Z10" i="16"/>
  <c r="Z11" i="16"/>
  <c r="Z12" i="16"/>
  <c r="Z13" i="16"/>
  <c r="Y2" i="16"/>
  <c r="I40" i="3" s="1"/>
  <c r="Y3" i="16"/>
  <c r="J40" i="3" s="1"/>
  <c r="Y4" i="16"/>
  <c r="K40" i="3" s="1"/>
  <c r="Y5" i="16"/>
  <c r="Y6" i="16"/>
  <c r="Y7" i="16"/>
  <c r="Y8" i="16"/>
  <c r="Y9" i="16"/>
  <c r="Y10" i="16"/>
  <c r="Y11" i="16"/>
  <c r="Y12" i="16"/>
  <c r="Y13" i="16"/>
  <c r="X2" i="16"/>
  <c r="I39" i="3" s="1"/>
  <c r="X3" i="16"/>
  <c r="J39" i="3" s="1"/>
  <c r="X4" i="16"/>
  <c r="K39" i="3" s="1"/>
  <c r="X5" i="16"/>
  <c r="X6" i="16"/>
  <c r="X7" i="16"/>
  <c r="X8" i="16"/>
  <c r="X9" i="16"/>
  <c r="X10" i="16"/>
  <c r="X11" i="16"/>
  <c r="X12" i="16"/>
  <c r="X13" i="16"/>
  <c r="W2" i="16"/>
  <c r="I38" i="3" s="1"/>
  <c r="W3" i="16"/>
  <c r="J38" i="3" s="1"/>
  <c r="W4" i="16"/>
  <c r="K38" i="3" s="1"/>
  <c r="W5" i="16"/>
  <c r="W6" i="16"/>
  <c r="W7" i="16"/>
  <c r="W8" i="16"/>
  <c r="W9" i="16"/>
  <c r="W10" i="16"/>
  <c r="W11" i="16"/>
  <c r="W12" i="16"/>
  <c r="W13" i="16"/>
  <c r="V2" i="16"/>
  <c r="I37" i="3" s="1"/>
  <c r="V3" i="16"/>
  <c r="J37" i="3" s="1"/>
  <c r="V4" i="16"/>
  <c r="K37" i="3" s="1"/>
  <c r="V5" i="16"/>
  <c r="V6" i="16"/>
  <c r="V7" i="16"/>
  <c r="V8" i="16"/>
  <c r="V9" i="16"/>
  <c r="V10" i="16"/>
  <c r="V11" i="16"/>
  <c r="V12" i="16"/>
  <c r="V13" i="16"/>
  <c r="U2" i="16"/>
  <c r="I36" i="3" s="1"/>
  <c r="U3" i="16"/>
  <c r="J36" i="3" s="1"/>
  <c r="U4" i="16"/>
  <c r="K36" i="3" s="1"/>
  <c r="U5" i="16"/>
  <c r="U6" i="16"/>
  <c r="U7" i="16"/>
  <c r="U8" i="16"/>
  <c r="U9" i="16"/>
  <c r="U10" i="16"/>
  <c r="U11" i="16"/>
  <c r="U12" i="16"/>
  <c r="U13" i="16"/>
  <c r="T2" i="16"/>
  <c r="I35" i="3" s="1"/>
  <c r="T3" i="16"/>
  <c r="J35" i="3" s="1"/>
  <c r="T4" i="16"/>
  <c r="K35" i="3" s="1"/>
  <c r="T5" i="16"/>
  <c r="T6" i="16"/>
  <c r="T7" i="16"/>
  <c r="T8" i="16"/>
  <c r="T9" i="16"/>
  <c r="T10" i="16"/>
  <c r="T11" i="16"/>
  <c r="T12" i="16"/>
  <c r="T13" i="16"/>
  <c r="S2" i="16"/>
  <c r="I34" i="3" s="1"/>
  <c r="S3" i="16"/>
  <c r="J34" i="3" s="1"/>
  <c r="S4" i="16"/>
  <c r="K34" i="3" s="1"/>
  <c r="S5" i="16"/>
  <c r="S6" i="16"/>
  <c r="S7" i="16"/>
  <c r="S8" i="16"/>
  <c r="S9" i="16"/>
  <c r="S10" i="16"/>
  <c r="S11" i="16"/>
  <c r="S12" i="16"/>
  <c r="S13" i="16"/>
  <c r="R2" i="16"/>
  <c r="I33" i="3" s="1"/>
  <c r="R3" i="16"/>
  <c r="J33" i="3" s="1"/>
  <c r="R4" i="16"/>
  <c r="K33" i="3" s="1"/>
  <c r="R5" i="16"/>
  <c r="R6" i="16"/>
  <c r="R7" i="16"/>
  <c r="R8" i="16"/>
  <c r="R9" i="16"/>
  <c r="R10" i="16"/>
  <c r="R11" i="16"/>
  <c r="R12" i="16"/>
  <c r="R13" i="16"/>
  <c r="Q2" i="16"/>
  <c r="I32" i="3" s="1"/>
  <c r="Q3" i="16"/>
  <c r="J32" i="3" s="1"/>
  <c r="Q4" i="16"/>
  <c r="K32" i="3" s="1"/>
  <c r="Q5" i="16"/>
  <c r="Q6" i="16"/>
  <c r="Q7" i="16"/>
  <c r="Q8" i="16"/>
  <c r="Q9" i="16"/>
  <c r="Q10" i="16"/>
  <c r="Q11" i="16"/>
  <c r="Q12" i="16"/>
  <c r="Q13" i="16"/>
  <c r="P2" i="16"/>
  <c r="I28" i="3" s="1"/>
  <c r="P3" i="16"/>
  <c r="J28" i="3" s="1"/>
  <c r="P4" i="16"/>
  <c r="K28" i="3" s="1"/>
  <c r="P5" i="16"/>
  <c r="P6" i="16"/>
  <c r="P7" i="16"/>
  <c r="P8" i="16"/>
  <c r="P9" i="16"/>
  <c r="P10" i="16"/>
  <c r="P11" i="16"/>
  <c r="P12" i="16"/>
  <c r="P13" i="16"/>
  <c r="O6" i="16"/>
  <c r="O2" i="16"/>
  <c r="I26" i="3" s="1"/>
  <c r="O3" i="16"/>
  <c r="J26" i="3" s="1"/>
  <c r="O4" i="16"/>
  <c r="K26" i="3" s="1"/>
  <c r="O5" i="16"/>
  <c r="O7" i="16"/>
  <c r="O8" i="16"/>
  <c r="O9" i="16"/>
  <c r="O10" i="16"/>
  <c r="O11" i="16"/>
  <c r="O12" i="16"/>
  <c r="O13" i="16"/>
  <c r="N2" i="16"/>
  <c r="I25" i="3" s="1"/>
  <c r="N3" i="16"/>
  <c r="J25" i="3" s="1"/>
  <c r="N4" i="16"/>
  <c r="K25" i="3" s="1"/>
  <c r="N5" i="16"/>
  <c r="N6" i="16"/>
  <c r="N7" i="16"/>
  <c r="N8" i="16"/>
  <c r="N9" i="16"/>
  <c r="N10" i="16"/>
  <c r="N11" i="16"/>
  <c r="N12" i="16"/>
  <c r="N13" i="16"/>
  <c r="M2" i="16"/>
  <c r="I22" i="3" s="1"/>
  <c r="M3" i="16"/>
  <c r="J22" i="3" s="1"/>
  <c r="M4" i="16"/>
  <c r="K22" i="3" s="1"/>
  <c r="M5" i="16"/>
  <c r="M6" i="16"/>
  <c r="M7" i="16"/>
  <c r="M8" i="16"/>
  <c r="M9" i="16"/>
  <c r="M10" i="16"/>
  <c r="M11" i="16"/>
  <c r="M12" i="16"/>
  <c r="M13" i="16"/>
  <c r="L2" i="16"/>
  <c r="I21" i="3" s="1"/>
  <c r="L3" i="16"/>
  <c r="J21" i="3" s="1"/>
  <c r="L4" i="16"/>
  <c r="K21" i="3" s="1"/>
  <c r="L5" i="16"/>
  <c r="L6" i="16"/>
  <c r="L7" i="16"/>
  <c r="L8" i="16"/>
  <c r="L9" i="16"/>
  <c r="L10" i="16"/>
  <c r="L11" i="16"/>
  <c r="L12" i="16"/>
  <c r="L13" i="16"/>
  <c r="K13" i="16"/>
  <c r="K12" i="16"/>
  <c r="K11" i="16"/>
  <c r="K10" i="16"/>
  <c r="K9" i="16"/>
  <c r="K8" i="16"/>
  <c r="K7" i="16"/>
  <c r="K6" i="16"/>
  <c r="K5" i="16"/>
  <c r="K4" i="16"/>
  <c r="K19" i="3" s="1"/>
  <c r="K3" i="16"/>
  <c r="J19" i="3" s="1"/>
  <c r="K2" i="16"/>
  <c r="I19" i="3" s="1"/>
  <c r="J13" i="16"/>
  <c r="J12" i="16"/>
  <c r="J11" i="16"/>
  <c r="J10" i="16"/>
  <c r="J9" i="16"/>
  <c r="J8" i="16"/>
  <c r="J7" i="16"/>
  <c r="J6" i="16"/>
  <c r="J5" i="16"/>
  <c r="J4" i="16"/>
  <c r="K18" i="3" s="1"/>
  <c r="F13" i="16"/>
  <c r="K13" i="3"/>
  <c r="E13" i="16"/>
  <c r="E12" i="16"/>
  <c r="E11" i="16"/>
  <c r="E10" i="16"/>
  <c r="E9" i="16"/>
  <c r="E8" i="16"/>
  <c r="E7" i="16"/>
  <c r="E6" i="16"/>
  <c r="E5" i="16"/>
  <c r="E4" i="16"/>
  <c r="E3" i="16"/>
  <c r="E2" i="16"/>
  <c r="D13" i="16"/>
  <c r="D12" i="16"/>
  <c r="D11" i="16"/>
  <c r="D10" i="16"/>
  <c r="D9" i="16"/>
  <c r="D8" i="16"/>
  <c r="D7" i="16"/>
  <c r="D6" i="16"/>
  <c r="D5" i="16"/>
  <c r="D4" i="16"/>
  <c r="D3" i="16"/>
  <c r="D2" i="16"/>
  <c r="C13" i="16"/>
  <c r="C12" i="16"/>
  <c r="C11" i="16"/>
  <c r="C10" i="16"/>
  <c r="C9" i="16"/>
  <c r="C8" i="16"/>
  <c r="C7" i="16"/>
  <c r="C6" i="16"/>
  <c r="C5" i="16"/>
  <c r="C4" i="16"/>
  <c r="C3" i="16"/>
  <c r="C2" i="16"/>
  <c r="B3" i="16"/>
  <c r="B13" i="16"/>
  <c r="B12" i="16"/>
  <c r="B11" i="16"/>
  <c r="B10" i="16"/>
  <c r="B9" i="16"/>
  <c r="B8" i="16"/>
  <c r="B7" i="16"/>
  <c r="B6" i="16"/>
  <c r="B5" i="16"/>
  <c r="B4" i="16"/>
  <c r="B2" i="16"/>
  <c r="A55" i="13"/>
  <c r="A63" i="3"/>
  <c r="Q54" i="13"/>
  <c r="P40" i="13"/>
  <c r="N40" i="13"/>
  <c r="O40" i="13"/>
  <c r="M40" i="13"/>
  <c r="K10" i="3" l="1"/>
  <c r="K11" i="3"/>
  <c r="K12" i="3"/>
  <c r="L56" i="3"/>
  <c r="L57" i="3"/>
  <c r="L54" i="3"/>
  <c r="L55" i="3"/>
  <c r="L48" i="3"/>
  <c r="L49" i="3"/>
  <c r="J10" i="3"/>
  <c r="J11" i="3"/>
  <c r="J12" i="3"/>
  <c r="J13" i="3"/>
  <c r="I9" i="3"/>
  <c r="J9" i="3"/>
  <c r="I10" i="3"/>
  <c r="I11" i="3"/>
  <c r="I12" i="3"/>
  <c r="K9" i="3"/>
  <c r="L50" i="3"/>
  <c r="J75" i="3"/>
  <c r="L40" i="13"/>
  <c r="K74" i="3" l="1"/>
  <c r="I74" i="3"/>
  <c r="I71" i="3"/>
  <c r="I29" i="3"/>
  <c r="K29" i="3"/>
  <c r="K71" i="3"/>
  <c r="J71" i="3"/>
  <c r="J29" i="3"/>
  <c r="J74" i="3"/>
  <c r="L28" i="3"/>
  <c r="I78" i="3"/>
  <c r="J72" i="3"/>
  <c r="J78" i="3"/>
  <c r="L43" i="3"/>
  <c r="K78" i="3"/>
  <c r="L53" i="3"/>
  <c r="L13" i="3"/>
  <c r="L12" i="3"/>
  <c r="L10" i="3"/>
  <c r="L11" i="3"/>
  <c r="L19" i="3"/>
  <c r="J77" i="3"/>
  <c r="L26" i="3"/>
  <c r="I75" i="3"/>
  <c r="I72" i="3"/>
  <c r="L25" i="3"/>
  <c r="L21" i="3"/>
  <c r="L18" i="3"/>
  <c r="L9" i="3"/>
  <c r="L51" i="3"/>
  <c r="K72" i="3"/>
  <c r="L32" i="3"/>
  <c r="L22" i="3"/>
  <c r="K75" i="3"/>
  <c r="I77" i="3"/>
  <c r="K77" i="3"/>
  <c r="K40" i="13"/>
  <c r="L29" i="3" l="1"/>
  <c r="H40" i="13"/>
  <c r="I40" i="13"/>
  <c r="J40" i="13"/>
  <c r="G40" i="13"/>
  <c r="F40" i="13"/>
  <c r="E40" i="13"/>
  <c r="Q39" i="13"/>
  <c r="Q37" i="13"/>
  <c r="Q36" i="13"/>
  <c r="Q35" i="13"/>
  <c r="Q34" i="13"/>
  <c r="Q33" i="13"/>
  <c r="Q32" i="13"/>
  <c r="Q31" i="13"/>
  <c r="Q30" i="13"/>
  <c r="Q29" i="13"/>
  <c r="Q28" i="13"/>
  <c r="Q24" i="13"/>
  <c r="Q22" i="13"/>
  <c r="Q21" i="13"/>
  <c r="Q18" i="13"/>
  <c r="Q17" i="13"/>
  <c r="Q15" i="13"/>
  <c r="Q14" i="13"/>
  <c r="Q9" i="13"/>
  <c r="Q8" i="13"/>
  <c r="Q7" i="13"/>
  <c r="Q6" i="13"/>
  <c r="Q5" i="13"/>
  <c r="Q40" i="13" l="1"/>
  <c r="Q47" i="13"/>
  <c r="K44" i="3" l="1"/>
  <c r="J44" i="3"/>
  <c r="I44" i="3"/>
  <c r="L42" i="3"/>
  <c r="L41" i="3"/>
  <c r="L40" i="3"/>
  <c r="L39" i="3"/>
  <c r="L38" i="3"/>
  <c r="L37" i="3"/>
  <c r="L36" i="3"/>
  <c r="L35" i="3"/>
  <c r="L34" i="3"/>
  <c r="L33" i="3"/>
  <c r="L44" i="3" l="1"/>
  <c r="L58" i="3"/>
</calcChain>
</file>

<file path=xl/sharedStrings.xml><?xml version="1.0" encoding="utf-8"?>
<sst xmlns="http://schemas.openxmlformats.org/spreadsheetml/2006/main" count="233" uniqueCount="79">
  <si>
    <t>CONSELHO FISCAL DA PREVIDÊNCIA SOCIAL DOS SERVIDORES PÚBLICOS DO MUNICÍPIO  DE FRANCISCO BELTRÃO - PREVBEL</t>
  </si>
  <si>
    <t>PARECER FISCAL</t>
  </si>
  <si>
    <t>Julho</t>
  </si>
  <si>
    <t>Agosto</t>
  </si>
  <si>
    <t>Setembro</t>
  </si>
  <si>
    <t>Parcelamento dos Débitos Previdenciários</t>
  </si>
  <si>
    <t>Patronal</t>
  </si>
  <si>
    <t>Servidor</t>
  </si>
  <si>
    <t>Compensação Previdenciária</t>
  </si>
  <si>
    <t>RECEITAS:</t>
  </si>
  <si>
    <t xml:space="preserve">DESPESAS: </t>
  </si>
  <si>
    <t>Proventos de Inativos - Plano Financeiro</t>
  </si>
  <si>
    <t>Proventos de Inativos - Plano Previdenciário</t>
  </si>
  <si>
    <t>Proventos de Pensão - Plano Financeiro</t>
  </si>
  <si>
    <t>Proventos de Pensão - Plano Previdenciário</t>
  </si>
  <si>
    <t>Salário Família dos Servidores Ativos - Plano Financeiro</t>
  </si>
  <si>
    <t>Salário Família dos Servidores Ativos - Plano Previdenciário</t>
  </si>
  <si>
    <t>Salário Maternidade das Servidoras Ativas - Plano Financiero</t>
  </si>
  <si>
    <t>Salário Maternidade das Servidoras Ativas - Plano Previdenciário</t>
  </si>
  <si>
    <t>Auxílio Doença dos Servidores Ativos - Plano Financeiro</t>
  </si>
  <si>
    <t>Auxílio Doença dos Servidores Ativos - Plano Previdenciário</t>
  </si>
  <si>
    <t>SALDO DAS APLICAÇÕES FINANCEIRAS</t>
  </si>
  <si>
    <t>Plano Previdenciário</t>
  </si>
  <si>
    <t>187-9</t>
  </si>
  <si>
    <t>330-8</t>
  </si>
  <si>
    <t>327-8</t>
  </si>
  <si>
    <t>48828-3</t>
  </si>
  <si>
    <t>TOTAL</t>
  </si>
  <si>
    <t xml:space="preserve">         Verificamos que as aplicações estão de acordo com a Resolução CMN nº 3922/2010 de 25/11/2010 e suas alterações, bem como a contabilização está em conformidade com a legislação vigente.</t>
  </si>
  <si>
    <t>Outubro</t>
  </si>
  <si>
    <t>Novembro</t>
  </si>
  <si>
    <t>Dezembro</t>
  </si>
  <si>
    <t>Disponibilidade Financeira</t>
  </si>
  <si>
    <t xml:space="preserve">Rendimento das Aplicações Financeiras - Plano Financeiro </t>
  </si>
  <si>
    <t xml:space="preserve">Rendimento das Aplicações Financeiras - Plano Previdenciário </t>
  </si>
  <si>
    <t>Plano Financeiro                                                                                                                             Saldo Atual</t>
  </si>
  <si>
    <t>Abril</t>
  </si>
  <si>
    <t>Maio</t>
  </si>
  <si>
    <t>Junho</t>
  </si>
  <si>
    <t xml:space="preserve">Compensação Previdenciária </t>
  </si>
  <si>
    <t xml:space="preserve">Contribuição Patronal dos Servidores Ativos - Plano Previdenciário </t>
  </si>
  <si>
    <t>Janeiro</t>
  </si>
  <si>
    <t>Fevereiro</t>
  </si>
  <si>
    <t>Março</t>
  </si>
  <si>
    <t>Contribuição dos Servidores Inativos  - Plano Financeiro</t>
  </si>
  <si>
    <t>Contribuição dos Servidores Inativos  - Plano Previdenciário</t>
  </si>
  <si>
    <t>Contribuição dos Pensionistas - Plano Financeiro</t>
  </si>
  <si>
    <t>Conselho Fiscal do PREVBEL:</t>
  </si>
  <si>
    <t>contrib. Serv. Financeiro</t>
  </si>
  <si>
    <t>Folha financeiro</t>
  </si>
  <si>
    <t>Contribuição dos Servidores Ativos - Plano Previdenciário</t>
  </si>
  <si>
    <t xml:space="preserve">        Adriana Fernandes Lise                                 Julia Mara Baldissera Zonta                                      Thiago Luiz Fabrin </t>
  </si>
  <si>
    <t>Contribuição dos Servidores Ativos - Plano Financeiro</t>
  </si>
  <si>
    <t>Contribuição Patronal dos Servidores Ativos - Plano Financeiro</t>
  </si>
  <si>
    <t>Parcelamento Patronal</t>
  </si>
  <si>
    <t>Parcelamento Servidor</t>
  </si>
  <si>
    <t>Mês</t>
  </si>
  <si>
    <t>Receitas Plano Financeiro</t>
  </si>
  <si>
    <t>Despesas Plano Financeiro</t>
  </si>
  <si>
    <t>Receitas Previdenciario</t>
  </si>
  <si>
    <t>Despesas Previdenciario</t>
  </si>
  <si>
    <t>Despesas Previdenciário</t>
  </si>
  <si>
    <t>Receitas Previdenciário</t>
  </si>
  <si>
    <t>Receitas Financeiro</t>
  </si>
  <si>
    <t>Despesas Financeiro</t>
  </si>
  <si>
    <t>Aplicação Financeiro</t>
  </si>
  <si>
    <t>Aplicação Previdenciario</t>
  </si>
  <si>
    <t>Aplicação Finaceiro</t>
  </si>
  <si>
    <t>Restituição Precatório  0002016-62.2017.8.16.7000</t>
  </si>
  <si>
    <t>Restituição Precatório</t>
  </si>
  <si>
    <t>RESUMO</t>
  </si>
  <si>
    <t>RECEITAS..........................................................................................</t>
  </si>
  <si>
    <t>DESPESAS..............................................................................................</t>
  </si>
  <si>
    <t>SALDO...............................................................................................</t>
  </si>
  <si>
    <t>RESUMO DE RECEITAS E DESPESAS - PLANO FINANCEIRO - ANO 2020</t>
  </si>
  <si>
    <t>RESUMO DE RECEITAS E DESPESAS - PLANO PREVIDENCIÁRIO - ANO 2020</t>
  </si>
  <si>
    <t>Contribuição dos Pensionistas - Plano previdenciário</t>
  </si>
  <si>
    <t>Restituições - Plano Previdenciário</t>
  </si>
  <si>
    <t>Restituições - Plano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</si>
</sst>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_ ;\-#,##0.00\ "/>
    <numFmt numFmtId="165" formatCode="&quot;Francisco Beltrão, &quot;dd&quot; de &quot;mmmm&quot; de &quot;yyyy&quot;.&quot;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44" fontId="3" fillId="0" borderId="0" xfId="1" applyFont="1"/>
    <xf numFmtId="164" fontId="3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4" fillId="0" borderId="11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left" wrapText="1"/>
    </xf>
    <xf numFmtId="4" fontId="3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0" fillId="0" borderId="3" xfId="0" applyFont="1" applyBorder="1" applyAlignment="1">
      <alignment horizontal="left"/>
    </xf>
    <xf numFmtId="164" fontId="10" fillId="0" borderId="3" xfId="1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10" fillId="0" borderId="0" xfId="1" applyNumberFormat="1" applyFont="1" applyBorder="1" applyAlignment="1">
      <alignment horizontal="right"/>
    </xf>
    <xf numFmtId="164" fontId="10" fillId="0" borderId="6" xfId="1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0" fillId="0" borderId="12" xfId="1" applyNumberFormat="1" applyFont="1" applyBorder="1" applyAlignment="1">
      <alignment horizontal="right"/>
    </xf>
    <xf numFmtId="164" fontId="8" fillId="0" borderId="11" xfId="1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164" fontId="8" fillId="0" borderId="13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10" xfId="1" applyNumberFormat="1" applyFont="1" applyBorder="1" applyAlignment="1">
      <alignment horizontal="right"/>
    </xf>
    <xf numFmtId="0" fontId="0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justify"/>
    </xf>
    <xf numFmtId="165" fontId="8" fillId="0" borderId="3" xfId="0" applyNumberFormat="1" applyFont="1" applyBorder="1" applyAlignment="1">
      <alignment horizontal="right"/>
    </xf>
    <xf numFmtId="0" fontId="8" fillId="0" borderId="1" xfId="0" applyFont="1" applyBorder="1"/>
    <xf numFmtId="0" fontId="10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Financeiro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Receitas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Geral!$E$59:$P$59</c:f>
              <c:numCache>
                <c:formatCode>#,##0.00_ ;\-#,##0.00\ </c:formatCode>
                <c:ptCount val="12"/>
                <c:pt idx="0">
                  <c:v>878788.10999999987</c:v>
                </c:pt>
                <c:pt idx="1">
                  <c:v>323392.25</c:v>
                </c:pt>
                <c:pt idx="2">
                  <c:v>1419584.6900000002</c:v>
                </c:pt>
                <c:pt idx="3">
                  <c:v>888991.75999999989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Despesas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Geral!$E$60:$P$60</c:f>
              <c:numCache>
                <c:formatCode>#,##0.00_ ;\-#,##0.00\ </c:formatCode>
                <c:ptCount val="12"/>
                <c:pt idx="0">
                  <c:v>2135430.17</c:v>
                </c:pt>
                <c:pt idx="1">
                  <c:v>2310720.15</c:v>
                </c:pt>
                <c:pt idx="2">
                  <c:v>2247947.77</c:v>
                </c:pt>
                <c:pt idx="3">
                  <c:v>2259405.2199999997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7680"/>
        <c:axId val="107209472"/>
      </c:lineChart>
      <c:catAx>
        <c:axId val="10720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7209472"/>
        <c:crosses val="autoZero"/>
        <c:auto val="1"/>
        <c:lblAlgn val="ctr"/>
        <c:lblOffset val="100"/>
        <c:noMultiLvlLbl val="0"/>
      </c:catAx>
      <c:valAx>
        <c:axId val="107209472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7207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Previdenciário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Receitas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Geral!$E$62:$P$62</c:f>
              <c:numCache>
                <c:formatCode>#,##0.00_ ;\-#,##0.00\ </c:formatCode>
                <c:ptCount val="12"/>
                <c:pt idx="0">
                  <c:v>1819269.9500000002</c:v>
                </c:pt>
                <c:pt idx="1">
                  <c:v>524715.71</c:v>
                </c:pt>
                <c:pt idx="2">
                  <c:v>2703157.36</c:v>
                </c:pt>
                <c:pt idx="3">
                  <c:v>2154426.8200000003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Despesas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Geral!$E$63:$P$63</c:f>
              <c:numCache>
                <c:formatCode>#,##0.00_ ;\-#,##0.00\ </c:formatCode>
                <c:ptCount val="12"/>
                <c:pt idx="0">
                  <c:v>125285.85</c:v>
                </c:pt>
                <c:pt idx="1">
                  <c:v>26977.14</c:v>
                </c:pt>
                <c:pt idx="2">
                  <c:v>285077.52</c:v>
                </c:pt>
                <c:pt idx="3">
                  <c:v>168211.97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1056"/>
        <c:axId val="107502592"/>
      </c:lineChart>
      <c:catAx>
        <c:axId val="10750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7502592"/>
        <c:crosses val="autoZero"/>
        <c:auto val="1"/>
        <c:lblAlgn val="ctr"/>
        <c:lblOffset val="100"/>
        <c:noMultiLvlLbl val="0"/>
      </c:catAx>
      <c:valAx>
        <c:axId val="107502592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7501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Geral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Receitas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Geral!$E$25:$P$25</c:f>
              <c:numCache>
                <c:formatCode>#,##0.00_ ;\-#,##0.00\ </c:formatCode>
                <c:ptCount val="12"/>
                <c:pt idx="0">
                  <c:v>2698058.06</c:v>
                </c:pt>
                <c:pt idx="1">
                  <c:v>848107.96</c:v>
                </c:pt>
                <c:pt idx="2">
                  <c:v>4122742.05</c:v>
                </c:pt>
                <c:pt idx="3">
                  <c:v>3043418.58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Despesas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Geral!$E$40:$P$40</c:f>
              <c:numCache>
                <c:formatCode>#,##0.00_ ;\-#,##0.00\ </c:formatCode>
                <c:ptCount val="12"/>
                <c:pt idx="0">
                  <c:v>2339055.7399999998</c:v>
                </c:pt>
                <c:pt idx="1">
                  <c:v>2342237.5699999998</c:v>
                </c:pt>
                <c:pt idx="2">
                  <c:v>2712690.72</c:v>
                </c:pt>
                <c:pt idx="3">
                  <c:v>2523283.9300000002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36384"/>
        <c:axId val="107537920"/>
      </c:lineChart>
      <c:catAx>
        <c:axId val="10753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7537920"/>
        <c:crosses val="autoZero"/>
        <c:auto val="1"/>
        <c:lblAlgn val="ctr"/>
        <c:lblOffset val="100"/>
        <c:noMultiLvlLbl val="0"/>
      </c:catAx>
      <c:valAx>
        <c:axId val="107537920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7536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Aplicação Financeira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Plano Financeiro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Geral!$E$65:$P$65</c:f>
              <c:numCache>
                <c:formatCode>#,##0.00_ ;\-#,##0.00\ </c:formatCode>
                <c:ptCount val="12"/>
                <c:pt idx="0">
                  <c:v>9042848.2200000007</c:v>
                </c:pt>
                <c:pt idx="1">
                  <c:v>7009964.5499999998</c:v>
                </c:pt>
                <c:pt idx="2">
                  <c:v>5999673.1899999995</c:v>
                </c:pt>
                <c:pt idx="3">
                  <c:v>4514684.49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Plano Previdenciário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Geral!$E$66:$P$66</c:f>
              <c:numCache>
                <c:formatCode>#,##0.00_ ;\-#,##0.00\ </c:formatCode>
                <c:ptCount val="12"/>
                <c:pt idx="0">
                  <c:v>90584842.25</c:v>
                </c:pt>
                <c:pt idx="1">
                  <c:v>91082321.75</c:v>
                </c:pt>
                <c:pt idx="2">
                  <c:v>92778765.640000001</c:v>
                </c:pt>
                <c:pt idx="3">
                  <c:v>94757392.639999986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00576"/>
        <c:axId val="118202368"/>
      </c:lineChart>
      <c:catAx>
        <c:axId val="11820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8202368"/>
        <c:crosses val="autoZero"/>
        <c:auto val="1"/>
        <c:lblAlgn val="ctr"/>
        <c:lblOffset val="100"/>
        <c:noMultiLvlLbl val="0"/>
      </c:catAx>
      <c:valAx>
        <c:axId val="118202368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82005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Financeiro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Receitas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Trimestral!$I$71:$K$71</c:f>
              <c:numCache>
                <c:formatCode>#,##0.00_ ;\-#,##0.00\ </c:formatCode>
                <c:ptCount val="3"/>
                <c:pt idx="0">
                  <c:v>878788.10999999987</c:v>
                </c:pt>
                <c:pt idx="1">
                  <c:v>323392.25</c:v>
                </c:pt>
                <c:pt idx="2">
                  <c:v>1419584.6900000002</c:v>
                </c:pt>
              </c:numCache>
            </c:numRef>
          </c:val>
        </c:ser>
        <c:ser>
          <c:idx val="1"/>
          <c:order val="1"/>
          <c:tx>
            <c:v>Despesas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Trimestral!$I$72:$K$72</c:f>
              <c:numCache>
                <c:formatCode>#,##0.00_ ;\-#,##0.00\ </c:formatCode>
                <c:ptCount val="3"/>
                <c:pt idx="0">
                  <c:v>2213769.8899999997</c:v>
                </c:pt>
                <c:pt idx="1">
                  <c:v>2315260.4299999997</c:v>
                </c:pt>
                <c:pt idx="2">
                  <c:v>2427613.2000000002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7456"/>
        <c:axId val="118313344"/>
      </c:barChart>
      <c:catAx>
        <c:axId val="118307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8313344"/>
        <c:crosses val="autoZero"/>
        <c:auto val="1"/>
        <c:lblAlgn val="ctr"/>
        <c:lblOffset val="100"/>
        <c:noMultiLvlLbl val="0"/>
      </c:catAx>
      <c:valAx>
        <c:axId val="118313344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8307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Previdenciário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Receitas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Trimestral!$I$74:$K$74</c:f>
              <c:numCache>
                <c:formatCode>#,##0.00_ ;\-#,##0.00\ </c:formatCode>
                <c:ptCount val="3"/>
                <c:pt idx="0">
                  <c:v>1819269.9500000002</c:v>
                </c:pt>
                <c:pt idx="1">
                  <c:v>524715.71</c:v>
                </c:pt>
                <c:pt idx="2">
                  <c:v>2703157.36</c:v>
                </c:pt>
              </c:numCache>
            </c:numRef>
          </c:val>
        </c:ser>
        <c:ser>
          <c:idx val="1"/>
          <c:order val="1"/>
          <c:tx>
            <c:v>Despesas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Trimestral!$I$75:$K$75</c:f>
              <c:numCache>
                <c:formatCode>#,##0.00_ ;\-#,##0.00\ </c:formatCode>
                <c:ptCount val="3"/>
                <c:pt idx="0">
                  <c:v>125285.85</c:v>
                </c:pt>
                <c:pt idx="1">
                  <c:v>26977.14</c:v>
                </c:pt>
                <c:pt idx="2">
                  <c:v>285077.52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30880"/>
        <c:axId val="118332416"/>
      </c:barChart>
      <c:catAx>
        <c:axId val="11833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8332416"/>
        <c:crosses val="autoZero"/>
        <c:auto val="1"/>
        <c:lblAlgn val="ctr"/>
        <c:lblOffset val="100"/>
        <c:noMultiLvlLbl val="0"/>
      </c:catAx>
      <c:valAx>
        <c:axId val="118332416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83308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Geral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Receitas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Trimestral!$I$29:$K$29</c:f>
              <c:numCache>
                <c:formatCode>#,##0.00_ ;\-#,##0.00\ </c:formatCode>
                <c:ptCount val="3"/>
                <c:pt idx="0">
                  <c:v>2698058.06</c:v>
                </c:pt>
                <c:pt idx="1">
                  <c:v>848107.96</c:v>
                </c:pt>
                <c:pt idx="2">
                  <c:v>4122742.05</c:v>
                </c:pt>
              </c:numCache>
            </c:numRef>
          </c:val>
        </c:ser>
        <c:ser>
          <c:idx val="1"/>
          <c:order val="1"/>
          <c:tx>
            <c:v>Despesas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Trimestral!$I$44:$K$44</c:f>
              <c:numCache>
                <c:formatCode>#,##0.00_ ;\-#,##0.00\ </c:formatCode>
                <c:ptCount val="3"/>
                <c:pt idx="0">
                  <c:v>2339055.7399999998</c:v>
                </c:pt>
                <c:pt idx="1">
                  <c:v>2342237.5699999998</c:v>
                </c:pt>
                <c:pt idx="2">
                  <c:v>2712690.72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59584"/>
        <c:axId val="117061120"/>
      </c:barChart>
      <c:catAx>
        <c:axId val="117059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7061120"/>
        <c:crosses val="autoZero"/>
        <c:auto val="1"/>
        <c:lblAlgn val="ctr"/>
        <c:lblOffset val="100"/>
        <c:noMultiLvlLbl val="0"/>
      </c:catAx>
      <c:valAx>
        <c:axId val="117061120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7059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Aplicação Financeira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Plano Financeiro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Trimestral!$I$77:$K$77</c:f>
              <c:numCache>
                <c:formatCode>#,##0.00_ ;\-#,##0.00\ </c:formatCode>
                <c:ptCount val="3"/>
                <c:pt idx="0">
                  <c:v>9042848.2200000007</c:v>
                </c:pt>
                <c:pt idx="1">
                  <c:v>7009964.5499999998</c:v>
                </c:pt>
                <c:pt idx="2">
                  <c:v>5999673.1899999995</c:v>
                </c:pt>
              </c:numCache>
            </c:numRef>
          </c:val>
          <c:smooth val="0"/>
        </c:ser>
        <c:ser>
          <c:idx val="1"/>
          <c:order val="1"/>
          <c:tx>
            <c:v>Plano Previdenciário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Trimestral!$I$7:$K$8</c:f>
              <c:strCache>
                <c:ptCount val="3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</c:strCache>
            </c:strRef>
          </c:cat>
          <c:val>
            <c:numRef>
              <c:f>Trimestral!$I$78:$K$78</c:f>
              <c:numCache>
                <c:formatCode>#,##0.00_ ;\-#,##0.00\ </c:formatCode>
                <c:ptCount val="3"/>
                <c:pt idx="0">
                  <c:v>90685400.489999995</c:v>
                </c:pt>
                <c:pt idx="1">
                  <c:v>91183139.060000002</c:v>
                </c:pt>
                <c:pt idx="2">
                  <c:v>92947992.780000001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81984"/>
        <c:axId val="117083520"/>
      </c:lineChart>
      <c:catAx>
        <c:axId val="11708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7083520"/>
        <c:crosses val="autoZero"/>
        <c:auto val="1"/>
        <c:lblAlgn val="ctr"/>
        <c:lblOffset val="100"/>
        <c:noMultiLvlLbl val="0"/>
      </c:catAx>
      <c:valAx>
        <c:axId val="117083520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17081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15</xdr:row>
      <xdr:rowOff>4762</xdr:rowOff>
    </xdr:from>
    <xdr:to>
      <xdr:col>12</xdr:col>
      <xdr:colOff>247649</xdr:colOff>
      <xdr:row>29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142875</xdr:rowOff>
    </xdr:from>
    <xdr:to>
      <xdr:col>12</xdr:col>
      <xdr:colOff>247650</xdr:colOff>
      <xdr:row>44</xdr:row>
      <xdr:rowOff>42863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0</xdr:row>
      <xdr:rowOff>57150</xdr:rowOff>
    </xdr:from>
    <xdr:to>
      <xdr:col>12</xdr:col>
      <xdr:colOff>247650</xdr:colOff>
      <xdr:row>14</xdr:row>
      <xdr:rowOff>147638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44</xdr:row>
      <xdr:rowOff>95250</xdr:rowOff>
    </xdr:from>
    <xdr:to>
      <xdr:col>12</xdr:col>
      <xdr:colOff>247650</xdr:colOff>
      <xdr:row>58</xdr:row>
      <xdr:rowOff>185738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4762</xdr:rowOff>
    </xdr:from>
    <xdr:to>
      <xdr:col>12</xdr:col>
      <xdr:colOff>247650</xdr:colOff>
      <xdr:row>29</xdr:row>
      <xdr:rowOff>95250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29</xdr:row>
      <xdr:rowOff>142875</xdr:rowOff>
    </xdr:from>
    <xdr:to>
      <xdr:col>12</xdr:col>
      <xdr:colOff>247651</xdr:colOff>
      <xdr:row>44</xdr:row>
      <xdr:rowOff>42863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47626</xdr:colOff>
      <xdr:row>0</xdr:row>
      <xdr:rowOff>57150</xdr:rowOff>
    </xdr:from>
    <xdr:to>
      <xdr:col>12</xdr:col>
      <xdr:colOff>247651</xdr:colOff>
      <xdr:row>14</xdr:row>
      <xdr:rowOff>147638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44</xdr:row>
      <xdr:rowOff>95250</xdr:rowOff>
    </xdr:from>
    <xdr:to>
      <xdr:col>12</xdr:col>
      <xdr:colOff>247650</xdr:colOff>
      <xdr:row>58</xdr:row>
      <xdr:rowOff>185738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Normal="100" workbookViewId="0">
      <selection activeCell="S53" sqref="S53"/>
    </sheetView>
  </sheetViews>
  <sheetFormatPr defaultColWidth="11.42578125" defaultRowHeight="11.25" x14ac:dyDescent="0.2"/>
  <cols>
    <col min="1" max="12" width="11.42578125" style="15"/>
    <col min="13" max="13" width="11.140625" style="15" customWidth="1"/>
    <col min="14" max="14" width="11.5703125" style="15" customWidth="1"/>
    <col min="15" max="15" width="11.7109375" style="15" customWidth="1"/>
    <col min="16" max="16" width="12.5703125" style="15" customWidth="1"/>
    <col min="17" max="16384" width="11.42578125" style="15"/>
  </cols>
  <sheetData>
    <row r="1" spans="1:17" x14ac:dyDescent="0.2">
      <c r="A1" s="37">
        <v>2020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7.5" customHeight="1" x14ac:dyDescent="0.2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x14ac:dyDescent="0.2">
      <c r="A3" s="46" t="s">
        <v>9</v>
      </c>
      <c r="B3" s="46"/>
      <c r="C3" s="46"/>
      <c r="D3" s="46"/>
      <c r="E3" s="47" t="s">
        <v>41</v>
      </c>
      <c r="F3" s="47" t="s">
        <v>42</v>
      </c>
      <c r="G3" s="47" t="s">
        <v>43</v>
      </c>
      <c r="H3" s="47" t="s">
        <v>36</v>
      </c>
      <c r="I3" s="47" t="s">
        <v>37</v>
      </c>
      <c r="J3" s="47" t="s">
        <v>38</v>
      </c>
      <c r="K3" s="47" t="s">
        <v>2</v>
      </c>
      <c r="L3" s="47" t="s">
        <v>3</v>
      </c>
      <c r="M3" s="47" t="s">
        <v>4</v>
      </c>
      <c r="N3" s="47" t="s">
        <v>29</v>
      </c>
      <c r="O3" s="47" t="s">
        <v>30</v>
      </c>
      <c r="P3" s="47" t="s">
        <v>31</v>
      </c>
      <c r="Q3" s="47" t="s">
        <v>27</v>
      </c>
    </row>
    <row r="4" spans="1:17" ht="7.5" customHeight="1" x14ac:dyDescent="0.2">
      <c r="A4" s="46"/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48" t="s">
        <v>52</v>
      </c>
      <c r="B5" s="48"/>
      <c r="C5" s="48"/>
      <c r="D5" s="48"/>
      <c r="E5" s="12">
        <v>222022.97</v>
      </c>
      <c r="F5" s="12">
        <v>0</v>
      </c>
      <c r="G5" s="12">
        <v>470896.52</v>
      </c>
      <c r="H5" s="12">
        <v>229843.75</v>
      </c>
      <c r="I5" s="12"/>
      <c r="J5" s="12"/>
      <c r="K5" s="12"/>
      <c r="L5" s="12"/>
      <c r="M5" s="12"/>
      <c r="N5" s="12"/>
      <c r="O5" s="12"/>
      <c r="P5" s="12"/>
      <c r="Q5" s="12">
        <f t="shared" ref="Q5:Q12" si="0">SUM(E5:P5)</f>
        <v>922763.24</v>
      </c>
    </row>
    <row r="6" spans="1:17" x14ac:dyDescent="0.2">
      <c r="A6" s="48" t="s">
        <v>50</v>
      </c>
      <c r="B6" s="48"/>
      <c r="C6" s="48"/>
      <c r="D6" s="48"/>
      <c r="E6" s="12">
        <v>459808.01</v>
      </c>
      <c r="F6" s="12">
        <v>5314.8</v>
      </c>
      <c r="G6" s="12">
        <v>993928.63</v>
      </c>
      <c r="H6" s="12">
        <v>491358.15</v>
      </c>
      <c r="I6" s="12"/>
      <c r="J6" s="12"/>
      <c r="K6" s="12"/>
      <c r="L6" s="12"/>
      <c r="M6" s="12"/>
      <c r="N6" s="12"/>
      <c r="O6" s="12"/>
      <c r="P6" s="12"/>
      <c r="Q6" s="12">
        <f t="shared" si="0"/>
        <v>1950409.5899999999</v>
      </c>
    </row>
    <row r="7" spans="1:17" x14ac:dyDescent="0.2">
      <c r="A7" s="48" t="s">
        <v>44</v>
      </c>
      <c r="B7" s="48"/>
      <c r="C7" s="48"/>
      <c r="D7" s="48"/>
      <c r="E7" s="12">
        <v>3661.76</v>
      </c>
      <c r="F7" s="12">
        <v>4815.12</v>
      </c>
      <c r="G7" s="12">
        <v>4815.12</v>
      </c>
      <c r="H7" s="12">
        <v>4815.12</v>
      </c>
      <c r="I7" s="12"/>
      <c r="J7" s="12"/>
      <c r="K7" s="12"/>
      <c r="L7" s="12"/>
      <c r="M7" s="12"/>
      <c r="N7" s="12"/>
      <c r="O7" s="12"/>
      <c r="P7" s="12"/>
      <c r="Q7" s="12">
        <f t="shared" si="0"/>
        <v>18107.12</v>
      </c>
    </row>
    <row r="8" spans="1:17" x14ac:dyDescent="0.2">
      <c r="A8" s="49" t="s">
        <v>45</v>
      </c>
      <c r="B8" s="49"/>
      <c r="C8" s="49"/>
      <c r="D8" s="49"/>
      <c r="E8" s="12">
        <v>28.66</v>
      </c>
      <c r="F8" s="12">
        <v>28.66</v>
      </c>
      <c r="G8" s="12">
        <v>28.66</v>
      </c>
      <c r="H8" s="12">
        <v>28.66</v>
      </c>
      <c r="I8" s="12"/>
      <c r="J8" s="12"/>
      <c r="K8" s="12"/>
      <c r="L8" s="12"/>
      <c r="M8" s="12"/>
      <c r="N8" s="12"/>
      <c r="O8" s="12"/>
      <c r="P8" s="12"/>
      <c r="Q8" s="12">
        <f t="shared" si="0"/>
        <v>114.64</v>
      </c>
    </row>
    <row r="9" spans="1:17" x14ac:dyDescent="0.2">
      <c r="A9" s="48" t="s">
        <v>46</v>
      </c>
      <c r="B9" s="48"/>
      <c r="C9" s="48"/>
      <c r="D9" s="48"/>
      <c r="E9" s="12">
        <v>280.44</v>
      </c>
      <c r="F9" s="12">
        <v>310.81</v>
      </c>
      <c r="G9" s="12">
        <v>310.81</v>
      </c>
      <c r="H9" s="12">
        <v>310.81</v>
      </c>
      <c r="I9" s="12"/>
      <c r="J9" s="12"/>
      <c r="K9" s="12"/>
      <c r="L9" s="12"/>
      <c r="M9" s="12"/>
      <c r="N9" s="12"/>
      <c r="O9" s="12"/>
      <c r="P9" s="12"/>
      <c r="Q9" s="12">
        <f t="shared" si="0"/>
        <v>1212.8699999999999</v>
      </c>
    </row>
    <row r="10" spans="1:17" x14ac:dyDescent="0.2">
      <c r="A10" s="48" t="s">
        <v>76</v>
      </c>
      <c r="B10" s="48"/>
      <c r="C10" s="48"/>
      <c r="D10" s="48"/>
      <c r="E10" s="12">
        <v>0</v>
      </c>
      <c r="F10" s="12">
        <v>0</v>
      </c>
      <c r="G10" s="12">
        <v>0</v>
      </c>
      <c r="H10" s="12">
        <v>0</v>
      </c>
      <c r="I10" s="12"/>
      <c r="J10" s="12"/>
      <c r="K10" s="12"/>
      <c r="L10" s="12"/>
      <c r="M10" s="12"/>
      <c r="N10" s="12"/>
      <c r="O10" s="12"/>
      <c r="P10" s="12"/>
      <c r="Q10" s="35">
        <f t="shared" si="0"/>
        <v>0</v>
      </c>
    </row>
    <row r="11" spans="1:17" x14ac:dyDescent="0.2">
      <c r="A11" s="48" t="s">
        <v>78</v>
      </c>
      <c r="B11" s="48"/>
      <c r="C11" s="48"/>
      <c r="D11" s="48"/>
      <c r="E11" s="12">
        <v>0</v>
      </c>
      <c r="F11" s="12">
        <v>0</v>
      </c>
      <c r="G11" s="12">
        <v>3197.83</v>
      </c>
      <c r="H11" s="12">
        <v>2525</v>
      </c>
      <c r="I11" s="12"/>
      <c r="J11" s="12"/>
      <c r="K11" s="12"/>
      <c r="L11" s="12"/>
      <c r="M11" s="12"/>
      <c r="N11" s="12"/>
      <c r="O11" s="12"/>
      <c r="P11" s="12"/>
      <c r="Q11" s="35">
        <f t="shared" si="0"/>
        <v>5722.83</v>
      </c>
    </row>
    <row r="12" spans="1:17" x14ac:dyDescent="0.2">
      <c r="A12" s="48" t="s">
        <v>77</v>
      </c>
      <c r="B12" s="48"/>
      <c r="C12" s="48"/>
      <c r="D12" s="48"/>
      <c r="E12" s="12">
        <v>14.57</v>
      </c>
      <c r="F12" s="12">
        <v>0</v>
      </c>
      <c r="G12" s="12">
        <v>0</v>
      </c>
      <c r="H12" s="12">
        <v>0</v>
      </c>
      <c r="I12" s="12"/>
      <c r="J12" s="12"/>
      <c r="K12" s="12"/>
      <c r="L12" s="12"/>
      <c r="M12" s="12"/>
      <c r="N12" s="12"/>
      <c r="O12" s="12"/>
      <c r="P12" s="12"/>
      <c r="Q12" s="35">
        <f t="shared" si="0"/>
        <v>14.57</v>
      </c>
    </row>
    <row r="13" spans="1:17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x14ac:dyDescent="0.2">
      <c r="A14" s="48" t="s">
        <v>53</v>
      </c>
      <c r="B14" s="48"/>
      <c r="C14" s="48"/>
      <c r="D14" s="48"/>
      <c r="E14" s="12">
        <v>355423.91</v>
      </c>
      <c r="F14" s="12">
        <v>0</v>
      </c>
      <c r="G14" s="12">
        <v>753813.91</v>
      </c>
      <c r="H14" s="12">
        <v>367959.01</v>
      </c>
      <c r="I14" s="12"/>
      <c r="J14" s="12"/>
      <c r="K14" s="12"/>
      <c r="L14" s="12"/>
      <c r="M14" s="12"/>
      <c r="N14" s="12"/>
      <c r="O14" s="12"/>
      <c r="P14" s="12"/>
      <c r="Q14" s="12">
        <f>SUM(E14:P14)</f>
        <v>1477196.83</v>
      </c>
    </row>
    <row r="15" spans="1:17" x14ac:dyDescent="0.2">
      <c r="A15" s="48" t="s">
        <v>40</v>
      </c>
      <c r="B15" s="48"/>
      <c r="C15" s="48"/>
      <c r="D15" s="48"/>
      <c r="E15" s="12">
        <v>735875.66</v>
      </c>
      <c r="F15" s="12">
        <v>8508.52</v>
      </c>
      <c r="G15" s="12">
        <v>1591159.15</v>
      </c>
      <c r="H15" s="12">
        <v>786616.52</v>
      </c>
      <c r="I15" s="12"/>
      <c r="J15" s="12"/>
      <c r="K15" s="12"/>
      <c r="L15" s="12"/>
      <c r="M15" s="12"/>
      <c r="N15" s="12"/>
      <c r="O15" s="12"/>
      <c r="P15" s="12"/>
      <c r="Q15" s="12">
        <f>SUM(E15:P15)</f>
        <v>3122159.85</v>
      </c>
    </row>
    <row r="16" spans="1:17" x14ac:dyDescent="0.2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x14ac:dyDescent="0.2">
      <c r="A17" s="48" t="s">
        <v>33</v>
      </c>
      <c r="B17" s="48"/>
      <c r="C17" s="48"/>
      <c r="D17" s="48"/>
      <c r="E17" s="12">
        <v>79453.960000000006</v>
      </c>
      <c r="F17" s="12">
        <v>50584.65</v>
      </c>
      <c r="G17" s="12">
        <v>9969.23</v>
      </c>
      <c r="H17" s="12">
        <v>57909.58</v>
      </c>
      <c r="I17" s="12"/>
      <c r="J17" s="12"/>
      <c r="K17" s="12"/>
      <c r="L17" s="12"/>
      <c r="M17" s="12"/>
      <c r="N17" s="12"/>
      <c r="O17" s="12"/>
      <c r="P17" s="12"/>
      <c r="Q17" s="12">
        <f>SUM(E17:P17)</f>
        <v>197917.42000000004</v>
      </c>
    </row>
    <row r="18" spans="1:17" x14ac:dyDescent="0.2">
      <c r="A18" s="48" t="s">
        <v>34</v>
      </c>
      <c r="B18" s="48"/>
      <c r="C18" s="48"/>
      <c r="D18" s="48"/>
      <c r="E18" s="12">
        <v>623543.05000000005</v>
      </c>
      <c r="F18" s="12">
        <v>510863.73</v>
      </c>
      <c r="G18" s="12">
        <v>118040.92</v>
      </c>
      <c r="H18" s="12">
        <v>876423.49</v>
      </c>
      <c r="I18" s="12"/>
      <c r="J18" s="12"/>
      <c r="K18" s="12"/>
      <c r="L18" s="12"/>
      <c r="M18" s="12"/>
      <c r="N18" s="12"/>
      <c r="O18" s="12"/>
      <c r="P18" s="12"/>
      <c r="Q18" s="12">
        <f>SUM(E18:P18)</f>
        <v>2128871.19</v>
      </c>
    </row>
    <row r="19" spans="1:17" x14ac:dyDescent="0.2">
      <c r="A19" s="46" t="s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x14ac:dyDescent="0.2">
      <c r="A21" s="48" t="s">
        <v>6</v>
      </c>
      <c r="B21" s="48"/>
      <c r="C21" s="48"/>
      <c r="D21" s="48"/>
      <c r="E21" s="12">
        <v>121488.11</v>
      </c>
      <c r="F21" s="12">
        <v>122145.21</v>
      </c>
      <c r="G21" s="12">
        <v>122570.23</v>
      </c>
      <c r="H21" s="12">
        <v>123428.2</v>
      </c>
      <c r="I21" s="12"/>
      <c r="J21" s="12"/>
      <c r="K21" s="12"/>
      <c r="L21" s="12"/>
      <c r="M21" s="12"/>
      <c r="N21" s="12"/>
      <c r="O21" s="12"/>
      <c r="P21" s="12"/>
      <c r="Q21" s="12">
        <f>SUM(E21:P21)</f>
        <v>489631.75</v>
      </c>
    </row>
    <row r="22" spans="1:17" x14ac:dyDescent="0.2">
      <c r="A22" s="48" t="s">
        <v>7</v>
      </c>
      <c r="B22" s="48"/>
      <c r="C22" s="48"/>
      <c r="D22" s="48"/>
      <c r="E22" s="12">
        <v>0</v>
      </c>
      <c r="F22" s="12">
        <v>0</v>
      </c>
      <c r="G22" s="12">
        <v>0</v>
      </c>
      <c r="H22" s="12">
        <v>0</v>
      </c>
      <c r="I22" s="12"/>
      <c r="J22" s="12"/>
      <c r="K22" s="12"/>
      <c r="L22" s="12"/>
      <c r="M22" s="12"/>
      <c r="N22" s="12"/>
      <c r="O22" s="12"/>
      <c r="P22" s="12"/>
      <c r="Q22" s="12">
        <f>SUM(E22:P22)</f>
        <v>0</v>
      </c>
    </row>
    <row r="23" spans="1:17" ht="10.5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1:17" x14ac:dyDescent="0.2">
      <c r="A24" s="48" t="s">
        <v>39</v>
      </c>
      <c r="B24" s="48"/>
      <c r="C24" s="48"/>
      <c r="D24" s="48"/>
      <c r="E24" s="12">
        <v>96456.960000000006</v>
      </c>
      <c r="F24" s="12">
        <v>145536.46</v>
      </c>
      <c r="G24" s="12">
        <v>54011.040000000001</v>
      </c>
      <c r="H24" s="12">
        <v>102200.29</v>
      </c>
      <c r="I24" s="12"/>
      <c r="J24" s="12"/>
      <c r="K24" s="12"/>
      <c r="L24" s="12"/>
      <c r="M24" s="12"/>
      <c r="N24" s="12"/>
      <c r="O24" s="12"/>
      <c r="P24" s="12"/>
      <c r="Q24" s="12">
        <f>SUM(E24:P24)</f>
        <v>398204.74999999994</v>
      </c>
    </row>
    <row r="25" spans="1:17" x14ac:dyDescent="0.2">
      <c r="A25" s="52" t="s">
        <v>27</v>
      </c>
      <c r="B25" s="52"/>
      <c r="C25" s="52"/>
      <c r="D25" s="52"/>
      <c r="E25" s="14">
        <f>SUM((E5:E12),(E14:E15),(E17:E18),(E21:E22),(E24))</f>
        <v>2698058.06</v>
      </c>
      <c r="F25" s="14">
        <f t="shared" ref="F25:P25" si="1">SUM((F5:F12),(F14:F15),(F17:F18),(F21:F22),(F24))</f>
        <v>848107.96</v>
      </c>
      <c r="G25" s="14">
        <f t="shared" si="1"/>
        <v>4122742.05</v>
      </c>
      <c r="H25" s="14">
        <f t="shared" si="1"/>
        <v>3043418.58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>SUM(E25:P25)</f>
        <v>10712326.65</v>
      </c>
    </row>
    <row r="26" spans="1:17" x14ac:dyDescent="0.2">
      <c r="A26" s="46" t="s">
        <v>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5.2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x14ac:dyDescent="0.2">
      <c r="A28" s="48" t="s">
        <v>11</v>
      </c>
      <c r="B28" s="48"/>
      <c r="C28" s="48"/>
      <c r="D28" s="48"/>
      <c r="E28" s="12">
        <v>1834421.28</v>
      </c>
      <c r="F28" s="12">
        <v>2001320.26</v>
      </c>
      <c r="G28" s="12">
        <v>1941727.55</v>
      </c>
      <c r="H28" s="12">
        <v>1952982.74</v>
      </c>
      <c r="I28" s="12"/>
      <c r="J28" s="12"/>
      <c r="K28" s="12"/>
      <c r="L28" s="12"/>
      <c r="M28" s="12"/>
      <c r="N28" s="12"/>
      <c r="O28" s="12"/>
      <c r="P28" s="12"/>
      <c r="Q28" s="12">
        <f t="shared" ref="Q28:Q39" si="2">SUM(E28:P28)</f>
        <v>7730451.8300000001</v>
      </c>
    </row>
    <row r="29" spans="1:17" x14ac:dyDescent="0.2">
      <c r="A29" s="48" t="s">
        <v>12</v>
      </c>
      <c r="B29" s="48"/>
      <c r="C29" s="48"/>
      <c r="D29" s="48"/>
      <c r="E29" s="12">
        <v>19534.37</v>
      </c>
      <c r="F29" s="12">
        <v>19588.37</v>
      </c>
      <c r="G29" s="12">
        <v>20464.82</v>
      </c>
      <c r="H29" s="12">
        <v>20633.37</v>
      </c>
      <c r="I29" s="12"/>
      <c r="J29" s="12"/>
      <c r="K29" s="12"/>
      <c r="L29" s="12"/>
      <c r="M29" s="12"/>
      <c r="N29" s="12"/>
      <c r="O29" s="12"/>
      <c r="P29" s="12"/>
      <c r="Q29" s="12">
        <f t="shared" si="2"/>
        <v>80220.929999999993</v>
      </c>
    </row>
    <row r="30" spans="1:17" x14ac:dyDescent="0.2">
      <c r="A30" s="48" t="s">
        <v>13</v>
      </c>
      <c r="B30" s="48"/>
      <c r="C30" s="48"/>
      <c r="D30" s="48"/>
      <c r="E30" s="12">
        <v>301008.89</v>
      </c>
      <c r="F30" s="12">
        <v>309399.89</v>
      </c>
      <c r="G30" s="12">
        <v>306220.21999999997</v>
      </c>
      <c r="H30" s="12">
        <v>306422.48</v>
      </c>
      <c r="I30" s="12"/>
      <c r="J30" s="12"/>
      <c r="K30" s="12"/>
      <c r="L30" s="12"/>
      <c r="M30" s="12"/>
      <c r="N30" s="12"/>
      <c r="O30" s="12"/>
      <c r="P30" s="12"/>
      <c r="Q30" s="12">
        <f t="shared" si="2"/>
        <v>1223051.48</v>
      </c>
    </row>
    <row r="31" spans="1:17" x14ac:dyDescent="0.2">
      <c r="A31" s="51" t="s">
        <v>14</v>
      </c>
      <c r="B31" s="51"/>
      <c r="C31" s="51"/>
      <c r="D31" s="51"/>
      <c r="E31" s="12">
        <v>7382.77</v>
      </c>
      <c r="F31" s="12">
        <v>7388.77</v>
      </c>
      <c r="G31" s="12">
        <v>7388.77</v>
      </c>
      <c r="H31" s="12">
        <v>7388.77</v>
      </c>
      <c r="I31" s="12"/>
      <c r="J31" s="12"/>
      <c r="K31" s="12"/>
      <c r="L31" s="12"/>
      <c r="M31" s="12"/>
      <c r="N31" s="12"/>
      <c r="O31" s="12"/>
      <c r="P31" s="12"/>
      <c r="Q31" s="12">
        <f t="shared" si="2"/>
        <v>29549.08</v>
      </c>
    </row>
    <row r="32" spans="1:17" x14ac:dyDescent="0.2">
      <c r="A32" s="51" t="s">
        <v>15</v>
      </c>
      <c r="B32" s="51"/>
      <c r="C32" s="51"/>
      <c r="D32" s="51"/>
      <c r="E32" s="12">
        <v>0</v>
      </c>
      <c r="F32" s="12">
        <v>0</v>
      </c>
      <c r="G32" s="12">
        <v>0</v>
      </c>
      <c r="H32" s="12">
        <v>0</v>
      </c>
      <c r="I32" s="12"/>
      <c r="J32" s="12"/>
      <c r="K32" s="12"/>
      <c r="L32" s="12"/>
      <c r="M32" s="12"/>
      <c r="N32" s="12"/>
      <c r="O32" s="12"/>
      <c r="P32" s="12"/>
      <c r="Q32" s="12">
        <f t="shared" si="2"/>
        <v>0</v>
      </c>
    </row>
    <row r="33" spans="1:17" x14ac:dyDescent="0.2">
      <c r="A33" s="51" t="s">
        <v>16</v>
      </c>
      <c r="B33" s="51"/>
      <c r="C33" s="51"/>
      <c r="D33" s="51"/>
      <c r="E33" s="12">
        <v>3014.44</v>
      </c>
      <c r="F33" s="12">
        <v>0</v>
      </c>
      <c r="G33" s="12">
        <v>4618.91</v>
      </c>
      <c r="H33" s="12">
        <v>2139.2800000000002</v>
      </c>
      <c r="I33" s="12"/>
      <c r="J33" s="12"/>
      <c r="K33" s="12"/>
      <c r="L33" s="12"/>
      <c r="M33" s="12"/>
      <c r="N33" s="12"/>
      <c r="O33" s="12"/>
      <c r="P33" s="12"/>
      <c r="Q33" s="12">
        <f t="shared" si="2"/>
        <v>9772.630000000001</v>
      </c>
    </row>
    <row r="34" spans="1:17" x14ac:dyDescent="0.2">
      <c r="A34" s="51" t="s">
        <v>17</v>
      </c>
      <c r="B34" s="51"/>
      <c r="C34" s="51"/>
      <c r="D34" s="51"/>
      <c r="E34" s="12">
        <v>0</v>
      </c>
      <c r="F34" s="12">
        <v>0</v>
      </c>
      <c r="G34" s="12">
        <v>0</v>
      </c>
      <c r="H34" s="12">
        <v>0</v>
      </c>
      <c r="I34" s="12"/>
      <c r="J34" s="12"/>
      <c r="K34" s="12"/>
      <c r="L34" s="12"/>
      <c r="M34" s="12"/>
      <c r="N34" s="12"/>
      <c r="O34" s="12"/>
      <c r="P34" s="12"/>
      <c r="Q34" s="12">
        <f t="shared" si="2"/>
        <v>0</v>
      </c>
    </row>
    <row r="35" spans="1:17" x14ac:dyDescent="0.2">
      <c r="A35" s="51" t="s">
        <v>18</v>
      </c>
      <c r="B35" s="51"/>
      <c r="C35" s="51"/>
      <c r="D35" s="51"/>
      <c r="E35" s="12">
        <v>65782.740000000005</v>
      </c>
      <c r="F35" s="12">
        <v>0</v>
      </c>
      <c r="G35" s="12">
        <v>128054.99</v>
      </c>
      <c r="H35" s="12">
        <v>63923.47</v>
      </c>
      <c r="I35" s="12"/>
      <c r="J35" s="12"/>
      <c r="K35" s="12"/>
      <c r="L35" s="12"/>
      <c r="M35" s="12"/>
      <c r="N35" s="12"/>
      <c r="O35" s="12"/>
      <c r="P35" s="12"/>
      <c r="Q35" s="12">
        <f t="shared" si="2"/>
        <v>257761.2</v>
      </c>
    </row>
    <row r="36" spans="1:17" x14ac:dyDescent="0.2">
      <c r="A36" s="51" t="s">
        <v>19</v>
      </c>
      <c r="B36" s="51"/>
      <c r="C36" s="51"/>
      <c r="D36" s="51"/>
      <c r="E36" s="12">
        <v>68705.19</v>
      </c>
      <c r="F36" s="12">
        <v>0</v>
      </c>
      <c r="G36" s="12">
        <v>144554.20000000001</v>
      </c>
      <c r="H36" s="12">
        <v>85236.43</v>
      </c>
      <c r="I36" s="12"/>
      <c r="J36" s="12"/>
      <c r="K36" s="12"/>
      <c r="L36" s="12"/>
      <c r="M36" s="12"/>
      <c r="N36" s="12"/>
      <c r="O36" s="12"/>
      <c r="P36" s="12"/>
      <c r="Q36" s="12">
        <f t="shared" si="2"/>
        <v>298495.82</v>
      </c>
    </row>
    <row r="37" spans="1:17" x14ac:dyDescent="0.2">
      <c r="A37" s="51" t="s">
        <v>20</v>
      </c>
      <c r="B37" s="51"/>
      <c r="C37" s="51"/>
      <c r="D37" s="51"/>
      <c r="E37" s="12">
        <v>29571.53</v>
      </c>
      <c r="F37" s="12">
        <v>0</v>
      </c>
      <c r="G37" s="12">
        <v>124550.03</v>
      </c>
      <c r="H37" s="12">
        <v>74127.08</v>
      </c>
      <c r="I37" s="12"/>
      <c r="J37" s="12"/>
      <c r="K37" s="12"/>
      <c r="L37" s="12"/>
      <c r="M37" s="12"/>
      <c r="N37" s="12"/>
      <c r="O37" s="12"/>
      <c r="P37" s="12"/>
      <c r="Q37" s="12">
        <f t="shared" si="2"/>
        <v>228248.64</v>
      </c>
    </row>
    <row r="38" spans="1:17" x14ac:dyDescent="0.2">
      <c r="A38" s="51" t="s">
        <v>8</v>
      </c>
      <c r="B38" s="51"/>
      <c r="C38" s="51"/>
      <c r="D38" s="51"/>
      <c r="E38" s="12">
        <v>9634.5300000000007</v>
      </c>
      <c r="F38" s="12">
        <v>4540.28</v>
      </c>
      <c r="G38" s="12">
        <v>35111.230000000003</v>
      </c>
      <c r="H38" s="12">
        <v>10430.31</v>
      </c>
      <c r="I38" s="12"/>
      <c r="J38" s="12"/>
      <c r="K38" s="12"/>
      <c r="L38" s="12"/>
      <c r="M38" s="12"/>
      <c r="N38" s="12"/>
      <c r="O38" s="12"/>
      <c r="P38" s="12"/>
      <c r="Q38" s="12">
        <f>SUM(E38:P38)</f>
        <v>59716.350000000006</v>
      </c>
    </row>
    <row r="39" spans="1:17" x14ac:dyDescent="0.2">
      <c r="A39" s="51" t="s">
        <v>68</v>
      </c>
      <c r="B39" s="51"/>
      <c r="C39" s="51"/>
      <c r="D39" s="51"/>
      <c r="E39" s="12">
        <v>0</v>
      </c>
      <c r="F39" s="12">
        <v>0</v>
      </c>
      <c r="G39" s="12">
        <v>0</v>
      </c>
      <c r="H39" s="12">
        <v>0</v>
      </c>
      <c r="I39" s="12"/>
      <c r="J39" s="12"/>
      <c r="K39" s="12"/>
      <c r="L39" s="12"/>
      <c r="M39" s="12"/>
      <c r="N39" s="12"/>
      <c r="O39" s="12"/>
      <c r="P39" s="12"/>
      <c r="Q39" s="12">
        <f t="shared" si="2"/>
        <v>0</v>
      </c>
    </row>
    <row r="40" spans="1:17" x14ac:dyDescent="0.2">
      <c r="A40" s="52" t="s">
        <v>27</v>
      </c>
      <c r="B40" s="52"/>
      <c r="C40" s="52"/>
      <c r="D40" s="52"/>
      <c r="E40" s="14">
        <f>SUM(E28:E39)</f>
        <v>2339055.7399999998</v>
      </c>
      <c r="F40" s="14">
        <f>SUM(F28:F39)</f>
        <v>2342237.5699999998</v>
      </c>
      <c r="G40" s="14">
        <f>SUM(G28:G39)</f>
        <v>2712690.72</v>
      </c>
      <c r="H40" s="14">
        <f t="shared" ref="H40:L40" si="3">SUM(H28:H39)</f>
        <v>2523283.9300000002</v>
      </c>
      <c r="I40" s="14">
        <f t="shared" si="3"/>
        <v>0</v>
      </c>
      <c r="J40" s="14">
        <f t="shared" si="3"/>
        <v>0</v>
      </c>
      <c r="K40" s="14">
        <f t="shared" si="3"/>
        <v>0</v>
      </c>
      <c r="L40" s="14">
        <f t="shared" si="3"/>
        <v>0</v>
      </c>
      <c r="M40" s="14">
        <f t="shared" ref="M40" si="4">SUM(M28:M39)</f>
        <v>0</v>
      </c>
      <c r="N40" s="14">
        <f>SUM(N28:N39)</f>
        <v>0</v>
      </c>
      <c r="O40" s="14">
        <f t="shared" ref="O40" si="5">SUM(O28:O39)</f>
        <v>0</v>
      </c>
      <c r="P40" s="14">
        <f>SUM(P28:P39)</f>
        <v>0</v>
      </c>
      <c r="Q40" s="14">
        <f>SUM(E40:P40)</f>
        <v>9917267.959999999</v>
      </c>
    </row>
    <row r="41" spans="1:17" x14ac:dyDescent="0.2">
      <c r="A41" s="46" t="s">
        <v>21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6.7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x14ac:dyDescent="0.2">
      <c r="A43" s="52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x14ac:dyDescent="0.2">
      <c r="A44" s="48" t="s">
        <v>23</v>
      </c>
      <c r="B44" s="48"/>
      <c r="C44" s="48"/>
      <c r="D44" s="48"/>
      <c r="E44" s="12">
        <v>7138720.8099999996</v>
      </c>
      <c r="F44" s="12">
        <v>5205450.3600000003</v>
      </c>
      <c r="G44" s="12">
        <v>4371996.76</v>
      </c>
      <c r="H44" s="12">
        <v>2999010.37</v>
      </c>
      <c r="I44" s="12"/>
      <c r="J44" s="12"/>
      <c r="K44" s="12"/>
      <c r="L44" s="12"/>
      <c r="M44" s="12"/>
      <c r="N44" s="12"/>
      <c r="O44" s="12"/>
      <c r="P44" s="12"/>
      <c r="Q44" s="12">
        <f>H44</f>
        <v>2999010.37</v>
      </c>
    </row>
    <row r="45" spans="1:17" x14ac:dyDescent="0.2">
      <c r="A45" s="48" t="s">
        <v>25</v>
      </c>
      <c r="B45" s="48"/>
      <c r="C45" s="48"/>
      <c r="D45" s="48"/>
      <c r="E45" s="12">
        <v>1849992.7</v>
      </c>
      <c r="F45" s="12">
        <v>1791394.97</v>
      </c>
      <c r="G45" s="12">
        <v>1606277.93</v>
      </c>
      <c r="H45" s="12">
        <v>1515674.12</v>
      </c>
      <c r="I45" s="12"/>
      <c r="J45" s="12"/>
      <c r="K45" s="12"/>
      <c r="L45" s="12"/>
      <c r="M45" s="12"/>
      <c r="N45" s="12"/>
      <c r="O45" s="12"/>
      <c r="P45" s="12"/>
      <c r="Q45" s="12">
        <f t="shared" ref="Q45:Q46" si="6">H45</f>
        <v>1515674.12</v>
      </c>
    </row>
    <row r="46" spans="1:17" x14ac:dyDescent="0.2">
      <c r="A46" s="48" t="s">
        <v>32</v>
      </c>
      <c r="B46" s="48"/>
      <c r="C46" s="48"/>
      <c r="D46" s="48"/>
      <c r="E46" s="12">
        <v>54134.71</v>
      </c>
      <c r="F46" s="12">
        <v>13119.22</v>
      </c>
      <c r="G46" s="12">
        <v>21398.5</v>
      </c>
      <c r="H46" s="12">
        <v>0</v>
      </c>
      <c r="I46" s="12"/>
      <c r="J46" s="12"/>
      <c r="K46" s="12"/>
      <c r="L46" s="12"/>
      <c r="M46" s="12"/>
      <c r="N46" s="12"/>
      <c r="O46" s="12"/>
      <c r="P46" s="12"/>
      <c r="Q46" s="12">
        <f t="shared" si="6"/>
        <v>0</v>
      </c>
    </row>
    <row r="47" spans="1:17" x14ac:dyDescent="0.2">
      <c r="A47" s="52" t="s">
        <v>27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13">
        <f>SUM(Q44:Q46)</f>
        <v>4514684.49</v>
      </c>
    </row>
    <row r="48" spans="1:17" x14ac:dyDescent="0.2">
      <c r="A48" s="52" t="s">
        <v>22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x14ac:dyDescent="0.2">
      <c r="A49" s="48" t="s">
        <v>24</v>
      </c>
      <c r="B49" s="48"/>
      <c r="C49" s="48"/>
      <c r="D49" s="48"/>
      <c r="E49" s="12">
        <v>66903589.479999997</v>
      </c>
      <c r="F49" s="12">
        <v>67285263.769999996</v>
      </c>
      <c r="G49" s="12">
        <v>68080012.170000002</v>
      </c>
      <c r="H49" s="12">
        <v>69831231.849999994</v>
      </c>
      <c r="I49" s="12"/>
      <c r="J49" s="12"/>
      <c r="K49" s="12"/>
      <c r="L49" s="12"/>
      <c r="M49" s="12"/>
      <c r="N49" s="12"/>
      <c r="O49" s="12"/>
      <c r="P49" s="12"/>
      <c r="Q49" s="12">
        <f>H49</f>
        <v>69831231.849999994</v>
      </c>
    </row>
    <row r="50" spans="1:17" x14ac:dyDescent="0.2">
      <c r="A50" s="48" t="s">
        <v>26</v>
      </c>
      <c r="B50" s="48"/>
      <c r="C50" s="48"/>
      <c r="D50" s="48"/>
      <c r="E50" s="12">
        <v>23681252.77</v>
      </c>
      <c r="F50" s="12">
        <v>23797029.32</v>
      </c>
      <c r="G50" s="12">
        <v>24698753.469999999</v>
      </c>
      <c r="H50" s="12">
        <v>24926160.789999999</v>
      </c>
      <c r="I50" s="12"/>
      <c r="J50" s="12"/>
      <c r="K50" s="12"/>
      <c r="L50" s="12"/>
      <c r="M50" s="12"/>
      <c r="N50" s="12"/>
      <c r="O50" s="12"/>
      <c r="P50" s="12"/>
      <c r="Q50" s="12">
        <f t="shared" ref="Q50:Q53" si="7">H50</f>
        <v>24926160.789999999</v>
      </c>
    </row>
    <row r="51" spans="1:17" x14ac:dyDescent="0.2">
      <c r="A51" s="53">
        <v>4452</v>
      </c>
      <c r="B51" s="54"/>
      <c r="C51" s="54"/>
      <c r="D51" s="55"/>
      <c r="E51" s="12">
        <v>0</v>
      </c>
      <c r="F51" s="12">
        <v>0</v>
      </c>
      <c r="G51" s="12">
        <v>0</v>
      </c>
      <c r="H51" s="12">
        <v>0</v>
      </c>
      <c r="I51" s="12"/>
      <c r="J51" s="12"/>
      <c r="K51" s="12"/>
      <c r="L51" s="12"/>
      <c r="M51" s="12"/>
      <c r="N51" s="12"/>
      <c r="O51" s="12"/>
      <c r="P51" s="12"/>
      <c r="Q51" s="12">
        <f t="shared" si="7"/>
        <v>0</v>
      </c>
    </row>
    <row r="52" spans="1:17" x14ac:dyDescent="0.2">
      <c r="A52" s="53">
        <v>93141</v>
      </c>
      <c r="B52" s="54"/>
      <c r="C52" s="54"/>
      <c r="D52" s="55"/>
      <c r="E52" s="12">
        <v>100558.24</v>
      </c>
      <c r="F52" s="12">
        <v>100817.31</v>
      </c>
      <c r="G52" s="12">
        <v>169227.14</v>
      </c>
      <c r="H52" s="12">
        <v>176814.99</v>
      </c>
      <c r="I52" s="12"/>
      <c r="J52" s="12"/>
      <c r="K52" s="12"/>
      <c r="L52" s="12"/>
      <c r="M52" s="12"/>
      <c r="N52" s="12"/>
      <c r="O52" s="12"/>
      <c r="P52" s="12"/>
      <c r="Q52" s="12">
        <f t="shared" si="7"/>
        <v>176814.99</v>
      </c>
    </row>
    <row r="53" spans="1:17" x14ac:dyDescent="0.2">
      <c r="A53" s="48" t="s">
        <v>32</v>
      </c>
      <c r="B53" s="48"/>
      <c r="C53" s="48"/>
      <c r="D53" s="48"/>
      <c r="E53" s="12"/>
      <c r="F53" s="12">
        <v>28.66</v>
      </c>
      <c r="G53" s="12"/>
      <c r="H53" s="12">
        <v>0</v>
      </c>
      <c r="I53" s="12"/>
      <c r="J53" s="12"/>
      <c r="K53" s="12"/>
      <c r="L53" s="12"/>
      <c r="M53" s="12"/>
      <c r="N53" s="12"/>
      <c r="O53" s="12"/>
      <c r="P53" s="12"/>
      <c r="Q53" s="12">
        <f t="shared" si="7"/>
        <v>0</v>
      </c>
    </row>
    <row r="54" spans="1:17" x14ac:dyDescent="0.2">
      <c r="A54" s="52" t="s">
        <v>27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14">
        <f>SUM(Q49:Q53)</f>
        <v>94934207.62999998</v>
      </c>
    </row>
    <row r="55" spans="1:17" x14ac:dyDescent="0.2">
      <c r="A55" s="50">
        <f ca="1">TODAY()</f>
        <v>43970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9" spans="1:17" x14ac:dyDescent="0.2">
      <c r="A59" s="20" t="s">
        <v>57</v>
      </c>
      <c r="B59" s="20" t="s">
        <v>48</v>
      </c>
      <c r="C59" s="20"/>
      <c r="D59" s="20"/>
      <c r="E59" s="21">
        <f>E5+E7+E9+E14+E17+E21+E22+E24+E11</f>
        <v>878788.10999999987</v>
      </c>
      <c r="F59" s="21">
        <f>F5+F7+F9+F14+F17+F21+F22+F24+F11</f>
        <v>323392.25</v>
      </c>
      <c r="G59" s="21">
        <f t="shared" ref="G59:P59" si="8">G5+G7+G9+G14+G17+G21+G22+G24+G11</f>
        <v>1419584.6900000002</v>
      </c>
      <c r="H59" s="21">
        <f t="shared" si="8"/>
        <v>888991.75999999989</v>
      </c>
      <c r="I59" s="21">
        <f t="shared" si="8"/>
        <v>0</v>
      </c>
      <c r="J59" s="21">
        <f t="shared" si="8"/>
        <v>0</v>
      </c>
      <c r="K59" s="21">
        <f t="shared" si="8"/>
        <v>0</v>
      </c>
      <c r="L59" s="21">
        <f t="shared" si="8"/>
        <v>0</v>
      </c>
      <c r="M59" s="21">
        <f t="shared" si="8"/>
        <v>0</v>
      </c>
      <c r="N59" s="21">
        <f t="shared" si="8"/>
        <v>0</v>
      </c>
      <c r="O59" s="21">
        <f t="shared" si="8"/>
        <v>0</v>
      </c>
      <c r="P59" s="21">
        <f t="shared" si="8"/>
        <v>0</v>
      </c>
      <c r="Q59" s="21"/>
    </row>
    <row r="60" spans="1:17" x14ac:dyDescent="0.2">
      <c r="A60" s="20" t="s">
        <v>58</v>
      </c>
      <c r="B60" s="20"/>
      <c r="C60" s="20"/>
      <c r="D60" s="20"/>
      <c r="E60" s="21">
        <f>E28+E30+E32+E34+E39</f>
        <v>2135430.17</v>
      </c>
      <c r="F60" s="21">
        <f t="shared" ref="F60:P60" si="9">F28+F30+F32+F34+F39</f>
        <v>2310720.15</v>
      </c>
      <c r="G60" s="21">
        <f t="shared" si="9"/>
        <v>2247947.77</v>
      </c>
      <c r="H60" s="21">
        <f t="shared" si="9"/>
        <v>2259405.2199999997</v>
      </c>
      <c r="I60" s="21">
        <f t="shared" si="9"/>
        <v>0</v>
      </c>
      <c r="J60" s="21">
        <f t="shared" si="9"/>
        <v>0</v>
      </c>
      <c r="K60" s="21">
        <f t="shared" si="9"/>
        <v>0</v>
      </c>
      <c r="L60" s="21">
        <f t="shared" si="9"/>
        <v>0</v>
      </c>
      <c r="M60" s="21">
        <f t="shared" si="9"/>
        <v>0</v>
      </c>
      <c r="N60" s="21">
        <f t="shared" si="9"/>
        <v>0</v>
      </c>
      <c r="O60" s="21">
        <f t="shared" si="9"/>
        <v>0</v>
      </c>
      <c r="P60" s="21">
        <f t="shared" si="9"/>
        <v>0</v>
      </c>
      <c r="Q60" s="21"/>
    </row>
    <row r="61" spans="1:17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x14ac:dyDescent="0.2">
      <c r="A62" s="20" t="s">
        <v>59</v>
      </c>
      <c r="B62" s="20" t="s">
        <v>49</v>
      </c>
      <c r="C62" s="20"/>
      <c r="D62" s="20"/>
      <c r="E62" s="21">
        <f>E6+E8+E15+E18+E10+E12</f>
        <v>1819269.9500000002</v>
      </c>
      <c r="F62" s="21">
        <f t="shared" ref="F62:P62" si="10">F6+F8+F15+F18+F10+F12</f>
        <v>524715.71</v>
      </c>
      <c r="G62" s="21">
        <f t="shared" si="10"/>
        <v>2703157.36</v>
      </c>
      <c r="H62" s="21">
        <f t="shared" si="10"/>
        <v>2154426.8200000003</v>
      </c>
      <c r="I62" s="21">
        <f t="shared" si="10"/>
        <v>0</v>
      </c>
      <c r="J62" s="21">
        <f t="shared" si="10"/>
        <v>0</v>
      </c>
      <c r="K62" s="21">
        <f t="shared" si="10"/>
        <v>0</v>
      </c>
      <c r="L62" s="21">
        <f t="shared" si="10"/>
        <v>0</v>
      </c>
      <c r="M62" s="21">
        <f t="shared" si="10"/>
        <v>0</v>
      </c>
      <c r="N62" s="21">
        <f t="shared" si="10"/>
        <v>0</v>
      </c>
      <c r="O62" s="21">
        <f t="shared" si="10"/>
        <v>0</v>
      </c>
      <c r="P62" s="21">
        <f t="shared" si="10"/>
        <v>0</v>
      </c>
      <c r="Q62" s="20"/>
    </row>
    <row r="63" spans="1:17" x14ac:dyDescent="0.2">
      <c r="A63" s="20" t="s">
        <v>60</v>
      </c>
      <c r="B63" s="20"/>
      <c r="C63" s="20"/>
      <c r="D63" s="20"/>
      <c r="E63" s="21">
        <f>E29+E31+E33+E35+E37</f>
        <v>125285.85</v>
      </c>
      <c r="F63" s="21">
        <f t="shared" ref="F63:P63" si="11">F29+F31+F33+F35+F37</f>
        <v>26977.14</v>
      </c>
      <c r="G63" s="21">
        <f t="shared" si="11"/>
        <v>285077.52</v>
      </c>
      <c r="H63" s="21">
        <f t="shared" si="11"/>
        <v>168211.97</v>
      </c>
      <c r="I63" s="21">
        <f t="shared" si="11"/>
        <v>0</v>
      </c>
      <c r="J63" s="21">
        <f t="shared" si="11"/>
        <v>0</v>
      </c>
      <c r="K63" s="21">
        <f t="shared" si="11"/>
        <v>0</v>
      </c>
      <c r="L63" s="21">
        <f t="shared" si="11"/>
        <v>0</v>
      </c>
      <c r="M63" s="21">
        <f t="shared" si="11"/>
        <v>0</v>
      </c>
      <c r="N63" s="21">
        <f t="shared" si="11"/>
        <v>0</v>
      </c>
      <c r="O63" s="21">
        <f t="shared" si="11"/>
        <v>0</v>
      </c>
      <c r="P63" s="21">
        <f t="shared" si="11"/>
        <v>0</v>
      </c>
      <c r="Q63" s="20"/>
    </row>
    <row r="64" spans="1:17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x14ac:dyDescent="0.2">
      <c r="A65" s="20" t="s">
        <v>67</v>
      </c>
      <c r="B65" s="20"/>
      <c r="C65" s="20"/>
      <c r="D65" s="20"/>
      <c r="E65" s="21">
        <f>E44+E45+E46</f>
        <v>9042848.2200000007</v>
      </c>
      <c r="F65" s="21">
        <f t="shared" ref="F65:P65" si="12">F44+F45+F46</f>
        <v>7009964.5499999998</v>
      </c>
      <c r="G65" s="21">
        <f t="shared" si="12"/>
        <v>5999673.1899999995</v>
      </c>
      <c r="H65" s="21">
        <f t="shared" si="12"/>
        <v>4514684.49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0"/>
    </row>
    <row r="66" spans="1:17" x14ac:dyDescent="0.2">
      <c r="A66" s="20" t="s">
        <v>66</v>
      </c>
      <c r="B66" s="20"/>
      <c r="C66" s="20"/>
      <c r="D66" s="20"/>
      <c r="E66" s="21">
        <f>E49+E50+E53</f>
        <v>90584842.25</v>
      </c>
      <c r="F66" s="21">
        <f t="shared" ref="F66:P66" si="13">F49+F50+F53</f>
        <v>91082321.75</v>
      </c>
      <c r="G66" s="21">
        <f t="shared" si="13"/>
        <v>92778765.640000001</v>
      </c>
      <c r="H66" s="21">
        <f t="shared" si="13"/>
        <v>94757392.639999986</v>
      </c>
      <c r="I66" s="21">
        <f t="shared" si="13"/>
        <v>0</v>
      </c>
      <c r="J66" s="21">
        <f t="shared" si="13"/>
        <v>0</v>
      </c>
      <c r="K66" s="21">
        <f t="shared" si="13"/>
        <v>0</v>
      </c>
      <c r="L66" s="21">
        <f t="shared" si="13"/>
        <v>0</v>
      </c>
      <c r="M66" s="21">
        <f t="shared" si="13"/>
        <v>0</v>
      </c>
      <c r="N66" s="21">
        <f t="shared" si="13"/>
        <v>0</v>
      </c>
      <c r="O66" s="21">
        <f t="shared" si="13"/>
        <v>0</v>
      </c>
      <c r="P66" s="21">
        <f t="shared" si="13"/>
        <v>0</v>
      </c>
      <c r="Q66" s="20"/>
    </row>
    <row r="67" spans="1:17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</sheetData>
  <mergeCells count="63">
    <mergeCell ref="A52:D52"/>
    <mergeCell ref="A53:D53"/>
    <mergeCell ref="A54:P54"/>
    <mergeCell ref="A36:D36"/>
    <mergeCell ref="A24:D24"/>
    <mergeCell ref="A25:D25"/>
    <mergeCell ref="A26:Q27"/>
    <mergeCell ref="A28:D28"/>
    <mergeCell ref="A29:D29"/>
    <mergeCell ref="A30:D30"/>
    <mergeCell ref="A31:D31"/>
    <mergeCell ref="A32:D32"/>
    <mergeCell ref="A33:D33"/>
    <mergeCell ref="A34:D34"/>
    <mergeCell ref="A35:D35"/>
    <mergeCell ref="A10:D10"/>
    <mergeCell ref="A55:Q55"/>
    <mergeCell ref="A50:D50"/>
    <mergeCell ref="A37:D37"/>
    <mergeCell ref="A39:D39"/>
    <mergeCell ref="A40:D40"/>
    <mergeCell ref="A41:Q42"/>
    <mergeCell ref="A43:Q43"/>
    <mergeCell ref="A44:D44"/>
    <mergeCell ref="A45:D45"/>
    <mergeCell ref="A46:D46"/>
    <mergeCell ref="A47:P47"/>
    <mergeCell ref="A48:Q48"/>
    <mergeCell ref="A49:D49"/>
    <mergeCell ref="A38:D38"/>
    <mergeCell ref="A51:D51"/>
    <mergeCell ref="M3:M4"/>
    <mergeCell ref="A11:D11"/>
    <mergeCell ref="N3:N4"/>
    <mergeCell ref="O3:O4"/>
    <mergeCell ref="A22:D22"/>
    <mergeCell ref="A5:D5"/>
    <mergeCell ref="A6:D6"/>
    <mergeCell ref="A7:D7"/>
    <mergeCell ref="A8:D8"/>
    <mergeCell ref="A9:D9"/>
    <mergeCell ref="A14:D14"/>
    <mergeCell ref="A15:D15"/>
    <mergeCell ref="A17:D17"/>
    <mergeCell ref="A18:D18"/>
    <mergeCell ref="A19:Q20"/>
    <mergeCell ref="A21:D21"/>
    <mergeCell ref="A1:Q2"/>
    <mergeCell ref="A13:Q13"/>
    <mergeCell ref="A16:Q16"/>
    <mergeCell ref="A23:Q23"/>
    <mergeCell ref="A3:D4"/>
    <mergeCell ref="E3:E4"/>
    <mergeCell ref="F3:F4"/>
    <mergeCell ref="Q3:Q4"/>
    <mergeCell ref="P3:P4"/>
    <mergeCell ref="G3:G4"/>
    <mergeCell ref="H3:H4"/>
    <mergeCell ref="I3:I4"/>
    <mergeCell ref="J3:J4"/>
    <mergeCell ref="K3:K4"/>
    <mergeCell ref="L3:L4"/>
    <mergeCell ref="A12:D12"/>
  </mergeCells>
  <pageMargins left="0.51181102362204722" right="0.51181102362204722" top="0.51181102362204722" bottom="0.59055118110236227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opLeftCell="A4" workbookViewId="0">
      <selection activeCell="A16" sqref="A16:Q17"/>
    </sheetView>
  </sheetViews>
  <sheetFormatPr defaultRowHeight="15" x14ac:dyDescent="0.25"/>
  <cols>
    <col min="4" max="4" width="16.5703125" customWidth="1"/>
    <col min="5" max="8" width="11" bestFit="1" customWidth="1"/>
    <col min="9" max="10" width="10.42578125" bestFit="1" customWidth="1"/>
    <col min="11" max="11" width="11" bestFit="1" customWidth="1"/>
    <col min="12" max="12" width="10.42578125" bestFit="1" customWidth="1"/>
    <col min="13" max="16" width="11" bestFit="1" customWidth="1"/>
    <col min="17" max="17" width="11.85546875" bestFit="1" customWidth="1"/>
  </cols>
  <sheetData>
    <row r="1" spans="1:17" ht="35.25" customHeight="1" x14ac:dyDescent="0.3">
      <c r="A1" s="62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46" t="s">
        <v>9</v>
      </c>
      <c r="B2" s="46"/>
      <c r="C2" s="46"/>
      <c r="D2" s="46"/>
      <c r="E2" s="47" t="s">
        <v>41</v>
      </c>
      <c r="F2" s="47" t="s">
        <v>42</v>
      </c>
      <c r="G2" s="47" t="s">
        <v>43</v>
      </c>
      <c r="H2" s="47" t="s">
        <v>36</v>
      </c>
      <c r="I2" s="47" t="s">
        <v>37</v>
      </c>
      <c r="J2" s="47" t="s">
        <v>38</v>
      </c>
      <c r="K2" s="47" t="s">
        <v>2</v>
      </c>
      <c r="L2" s="47" t="s">
        <v>3</v>
      </c>
      <c r="M2" s="47" t="s">
        <v>4</v>
      </c>
      <c r="N2" s="47" t="s">
        <v>29</v>
      </c>
      <c r="O2" s="47" t="s">
        <v>30</v>
      </c>
      <c r="P2" s="47" t="s">
        <v>31</v>
      </c>
      <c r="Q2" s="47" t="s">
        <v>27</v>
      </c>
    </row>
    <row r="3" spans="1:17" x14ac:dyDescent="0.25">
      <c r="A3" s="46"/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5">
      <c r="A4" s="48" t="s">
        <v>52</v>
      </c>
      <c r="B4" s="48"/>
      <c r="C4" s="48"/>
      <c r="D4" s="48"/>
      <c r="E4" s="12">
        <f>Geral!E5</f>
        <v>222022.97</v>
      </c>
      <c r="F4" s="12">
        <f>Geral!F5</f>
        <v>0</v>
      </c>
      <c r="G4" s="12">
        <f>Geral!G5</f>
        <v>470896.52</v>
      </c>
      <c r="H4" s="12">
        <f>Geral!H5</f>
        <v>229843.75</v>
      </c>
      <c r="I4" s="12">
        <f>Geral!I5</f>
        <v>0</v>
      </c>
      <c r="J4" s="12">
        <f>Geral!J5</f>
        <v>0</v>
      </c>
      <c r="K4" s="12">
        <f>Geral!K5</f>
        <v>0</v>
      </c>
      <c r="L4" s="12">
        <f>Geral!L5</f>
        <v>0</v>
      </c>
      <c r="M4" s="12">
        <f>Geral!M5</f>
        <v>0</v>
      </c>
      <c r="N4" s="12">
        <f>Geral!N5</f>
        <v>0</v>
      </c>
      <c r="O4" s="12">
        <f>Geral!O5</f>
        <v>0</v>
      </c>
      <c r="P4" s="12">
        <f>Geral!P5</f>
        <v>0</v>
      </c>
      <c r="Q4" s="12">
        <f>SUM(E4:P4)</f>
        <v>922763.24</v>
      </c>
    </row>
    <row r="5" spans="1:17" x14ac:dyDescent="0.25">
      <c r="A5" s="48" t="s">
        <v>44</v>
      </c>
      <c r="B5" s="48"/>
      <c r="C5" s="48"/>
      <c r="D5" s="48"/>
      <c r="E5" s="12">
        <f>Geral!E7</f>
        <v>3661.76</v>
      </c>
      <c r="F5" s="12">
        <f>Geral!F7</f>
        <v>4815.12</v>
      </c>
      <c r="G5" s="12">
        <f>Geral!G7</f>
        <v>4815.12</v>
      </c>
      <c r="H5" s="12">
        <f>Geral!H7</f>
        <v>4815.12</v>
      </c>
      <c r="I5" s="12">
        <f>Geral!I7</f>
        <v>0</v>
      </c>
      <c r="J5" s="12">
        <f>Geral!J7</f>
        <v>0</v>
      </c>
      <c r="K5" s="12">
        <f>Geral!K7</f>
        <v>0</v>
      </c>
      <c r="L5" s="12">
        <f>Geral!L7</f>
        <v>0</v>
      </c>
      <c r="M5" s="12">
        <f>Geral!M7</f>
        <v>0</v>
      </c>
      <c r="N5" s="12">
        <f>Geral!N7</f>
        <v>0</v>
      </c>
      <c r="O5" s="12">
        <f>Geral!O7</f>
        <v>0</v>
      </c>
      <c r="P5" s="12">
        <f>Geral!P7</f>
        <v>0</v>
      </c>
      <c r="Q5" s="12">
        <f t="shared" ref="Q5:Q9" si="0">SUM(E5:P5)</f>
        <v>18107.12</v>
      </c>
    </row>
    <row r="6" spans="1:17" x14ac:dyDescent="0.25">
      <c r="A6" s="48" t="s">
        <v>46</v>
      </c>
      <c r="B6" s="48"/>
      <c r="C6" s="48"/>
      <c r="D6" s="48"/>
      <c r="E6" s="12">
        <f>Geral!E9</f>
        <v>280.44</v>
      </c>
      <c r="F6" s="12">
        <f>Geral!F9</f>
        <v>310.81</v>
      </c>
      <c r="G6" s="12">
        <f>Geral!G9</f>
        <v>310.81</v>
      </c>
      <c r="H6" s="12">
        <f>Geral!H9</f>
        <v>310.81</v>
      </c>
      <c r="I6" s="12">
        <f>Geral!I9</f>
        <v>0</v>
      </c>
      <c r="J6" s="12">
        <f>Geral!J9</f>
        <v>0</v>
      </c>
      <c r="K6" s="12">
        <f>Geral!K9</f>
        <v>0</v>
      </c>
      <c r="L6" s="12">
        <f>Geral!L9</f>
        <v>0</v>
      </c>
      <c r="M6" s="12">
        <f>Geral!M9</f>
        <v>0</v>
      </c>
      <c r="N6" s="12">
        <f>Geral!N9</f>
        <v>0</v>
      </c>
      <c r="O6" s="12">
        <f>Geral!O9</f>
        <v>0</v>
      </c>
      <c r="P6" s="12">
        <f>Geral!P9</f>
        <v>0</v>
      </c>
      <c r="Q6" s="12">
        <f t="shared" si="0"/>
        <v>1212.8699999999999</v>
      </c>
    </row>
    <row r="7" spans="1:17" x14ac:dyDescent="0.25">
      <c r="A7" s="48" t="s">
        <v>53</v>
      </c>
      <c r="B7" s="48"/>
      <c r="C7" s="48"/>
      <c r="D7" s="48"/>
      <c r="E7" s="12">
        <f>Geral!E14</f>
        <v>355423.91</v>
      </c>
      <c r="F7" s="12">
        <f>Geral!F14</f>
        <v>0</v>
      </c>
      <c r="G7" s="12">
        <f>Geral!G14</f>
        <v>753813.91</v>
      </c>
      <c r="H7" s="12">
        <f>Geral!H14</f>
        <v>367959.01</v>
      </c>
      <c r="I7" s="12">
        <f>Geral!I14</f>
        <v>0</v>
      </c>
      <c r="J7" s="12">
        <f>Geral!J14</f>
        <v>0</v>
      </c>
      <c r="K7" s="12">
        <f>Geral!K14</f>
        <v>0</v>
      </c>
      <c r="L7" s="12">
        <f>Geral!L14</f>
        <v>0</v>
      </c>
      <c r="M7" s="12">
        <f>Geral!M14</f>
        <v>0</v>
      </c>
      <c r="N7" s="12">
        <f>Geral!N14</f>
        <v>0</v>
      </c>
      <c r="O7" s="12">
        <f>Geral!O14</f>
        <v>0</v>
      </c>
      <c r="P7" s="12">
        <f>Geral!P14</f>
        <v>0</v>
      </c>
      <c r="Q7" s="12">
        <f t="shared" si="0"/>
        <v>1477196.83</v>
      </c>
    </row>
    <row r="8" spans="1:17" x14ac:dyDescent="0.25">
      <c r="A8" s="48" t="s">
        <v>33</v>
      </c>
      <c r="B8" s="48"/>
      <c r="C8" s="48"/>
      <c r="D8" s="48"/>
      <c r="E8" s="12">
        <f>Geral!E17</f>
        <v>79453.960000000006</v>
      </c>
      <c r="F8" s="12">
        <f>Geral!F17</f>
        <v>50584.65</v>
      </c>
      <c r="G8" s="12">
        <f>Geral!G17</f>
        <v>9969.23</v>
      </c>
      <c r="H8" s="12">
        <f>Geral!H17</f>
        <v>57909.58</v>
      </c>
      <c r="I8" s="12">
        <f>Geral!I17</f>
        <v>0</v>
      </c>
      <c r="J8" s="12">
        <f>Geral!J17</f>
        <v>0</v>
      </c>
      <c r="K8" s="12">
        <f>Geral!K17</f>
        <v>0</v>
      </c>
      <c r="L8" s="12">
        <f>Geral!L17</f>
        <v>0</v>
      </c>
      <c r="M8" s="12">
        <f>Geral!M17</f>
        <v>0</v>
      </c>
      <c r="N8" s="12">
        <f>Geral!N17</f>
        <v>0</v>
      </c>
      <c r="O8" s="12">
        <f>Geral!O17</f>
        <v>0</v>
      </c>
      <c r="P8" s="12">
        <f>Geral!P17</f>
        <v>0</v>
      </c>
      <c r="Q8" s="12">
        <f t="shared" si="0"/>
        <v>197917.42000000004</v>
      </c>
    </row>
    <row r="9" spans="1:17" x14ac:dyDescent="0.25">
      <c r="A9" s="53" t="s">
        <v>78</v>
      </c>
      <c r="B9" s="54"/>
      <c r="C9" s="54"/>
      <c r="D9" s="55"/>
      <c r="E9" s="12">
        <f>Geral!E11</f>
        <v>0</v>
      </c>
      <c r="F9" s="12">
        <f>Geral!F11</f>
        <v>0</v>
      </c>
      <c r="G9" s="12">
        <f>Geral!G11</f>
        <v>3197.83</v>
      </c>
      <c r="H9" s="12">
        <f>Geral!H11</f>
        <v>2525</v>
      </c>
      <c r="I9" s="12">
        <f>Geral!I11</f>
        <v>0</v>
      </c>
      <c r="J9" s="12">
        <f>Geral!J11</f>
        <v>0</v>
      </c>
      <c r="K9" s="12">
        <f>Geral!K11</f>
        <v>0</v>
      </c>
      <c r="L9" s="12">
        <f>Geral!L11</f>
        <v>0</v>
      </c>
      <c r="M9" s="12">
        <f>Geral!M11</f>
        <v>0</v>
      </c>
      <c r="N9" s="12">
        <f>Geral!N11</f>
        <v>0</v>
      </c>
      <c r="O9" s="12">
        <f>Geral!O11</f>
        <v>0</v>
      </c>
      <c r="P9" s="12">
        <f>Geral!P11</f>
        <v>0</v>
      </c>
      <c r="Q9" s="12">
        <f t="shared" si="0"/>
        <v>5722.83</v>
      </c>
    </row>
    <row r="10" spans="1:17" x14ac:dyDescent="0.25">
      <c r="A10" s="46" t="s">
        <v>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25">
      <c r="A12" s="48" t="s">
        <v>6</v>
      </c>
      <c r="B12" s="48"/>
      <c r="C12" s="48"/>
      <c r="D12" s="48"/>
      <c r="E12" s="12">
        <f>Geral!E21</f>
        <v>121488.11</v>
      </c>
      <c r="F12" s="12">
        <f>Geral!F21</f>
        <v>122145.21</v>
      </c>
      <c r="G12" s="12">
        <f>Geral!G21</f>
        <v>122570.23</v>
      </c>
      <c r="H12" s="12">
        <f>Geral!H21</f>
        <v>123428.2</v>
      </c>
      <c r="I12" s="12">
        <f>Geral!I21</f>
        <v>0</v>
      </c>
      <c r="J12" s="12">
        <f>Geral!J21</f>
        <v>0</v>
      </c>
      <c r="K12" s="12">
        <f>Geral!K21</f>
        <v>0</v>
      </c>
      <c r="L12" s="12">
        <f>Geral!L21</f>
        <v>0</v>
      </c>
      <c r="M12" s="12">
        <f>Geral!M21</f>
        <v>0</v>
      </c>
      <c r="N12" s="12">
        <f>Geral!N21</f>
        <v>0</v>
      </c>
      <c r="O12" s="12">
        <f>Geral!O21</f>
        <v>0</v>
      </c>
      <c r="P12" s="12">
        <f>Geral!P21</f>
        <v>0</v>
      </c>
      <c r="Q12" s="12">
        <f>SUM(E12:P12)</f>
        <v>489631.75</v>
      </c>
    </row>
    <row r="13" spans="1:17" x14ac:dyDescent="0.25">
      <c r="A13" s="48" t="s">
        <v>7</v>
      </c>
      <c r="B13" s="48"/>
      <c r="C13" s="48"/>
      <c r="D13" s="48"/>
      <c r="E13" s="12">
        <f>Geral!E22</f>
        <v>0</v>
      </c>
      <c r="F13" s="12">
        <f>Geral!F22</f>
        <v>0</v>
      </c>
      <c r="G13" s="12">
        <f>Geral!G22</f>
        <v>0</v>
      </c>
      <c r="H13" s="12">
        <f>Geral!H22</f>
        <v>0</v>
      </c>
      <c r="I13" s="12">
        <f>Geral!I22</f>
        <v>0</v>
      </c>
      <c r="J13" s="12">
        <f>Geral!J22</f>
        <v>0</v>
      </c>
      <c r="K13" s="12">
        <f>Geral!K22</f>
        <v>0</v>
      </c>
      <c r="L13" s="12">
        <f>Geral!L22</f>
        <v>0</v>
      </c>
      <c r="M13" s="12">
        <f>Geral!M22</f>
        <v>0</v>
      </c>
      <c r="N13" s="12">
        <f>Geral!N22</f>
        <v>0</v>
      </c>
      <c r="O13" s="12">
        <f>Geral!O22</f>
        <v>0</v>
      </c>
      <c r="P13" s="12">
        <f>Geral!P22</f>
        <v>0</v>
      </c>
      <c r="Q13" s="12">
        <f t="shared" ref="Q13:Q14" si="1">SUM(E13:P13)</f>
        <v>0</v>
      </c>
    </row>
    <row r="14" spans="1:17" x14ac:dyDescent="0.25">
      <c r="A14" s="48" t="s">
        <v>39</v>
      </c>
      <c r="B14" s="48"/>
      <c r="C14" s="48"/>
      <c r="D14" s="48"/>
      <c r="E14" s="12">
        <f>Geral!E24</f>
        <v>96456.960000000006</v>
      </c>
      <c r="F14" s="12">
        <f>Geral!F24</f>
        <v>145536.46</v>
      </c>
      <c r="G14" s="12">
        <f>Geral!G24</f>
        <v>54011.040000000001</v>
      </c>
      <c r="H14" s="12">
        <f>Geral!H24</f>
        <v>102200.29</v>
      </c>
      <c r="I14" s="12">
        <f>Geral!I24</f>
        <v>0</v>
      </c>
      <c r="J14" s="12">
        <f>Geral!J24</f>
        <v>0</v>
      </c>
      <c r="K14" s="12">
        <f>Geral!K24</f>
        <v>0</v>
      </c>
      <c r="L14" s="12">
        <f>Geral!L24</f>
        <v>0</v>
      </c>
      <c r="M14" s="12">
        <f>Geral!M24</f>
        <v>0</v>
      </c>
      <c r="N14" s="12">
        <f>Geral!N24</f>
        <v>0</v>
      </c>
      <c r="O14" s="12">
        <f>Geral!O24</f>
        <v>0</v>
      </c>
      <c r="P14" s="12">
        <f>Geral!P24</f>
        <v>0</v>
      </c>
      <c r="Q14" s="12">
        <f t="shared" si="1"/>
        <v>398204.74999999994</v>
      </c>
    </row>
    <row r="15" spans="1:17" x14ac:dyDescent="0.25">
      <c r="A15" s="52" t="s">
        <v>27</v>
      </c>
      <c r="B15" s="52"/>
      <c r="C15" s="52"/>
      <c r="D15" s="52"/>
      <c r="E15" s="14">
        <f>SUM((E4:E9),(E12:E14))</f>
        <v>878788.10999999987</v>
      </c>
      <c r="F15" s="14">
        <f t="shared" ref="F15:P15" si="2">SUM((F4:F9),(F12:F14))</f>
        <v>323392.25</v>
      </c>
      <c r="G15" s="14">
        <f t="shared" si="2"/>
        <v>1419584.6900000002</v>
      </c>
      <c r="H15" s="14">
        <f t="shared" si="2"/>
        <v>888991.75999999989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4">
        <f>SUM(E15:P15)</f>
        <v>3510756.8099999996</v>
      </c>
    </row>
    <row r="16" spans="1:17" x14ac:dyDescent="0.25">
      <c r="A16" s="68" t="s">
        <v>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</row>
    <row r="17" spans="1:17" x14ac:dyDescent="0.2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</row>
    <row r="18" spans="1:17" x14ac:dyDescent="0.25">
      <c r="A18" s="48" t="s">
        <v>11</v>
      </c>
      <c r="B18" s="48"/>
      <c r="C18" s="48"/>
      <c r="D18" s="48"/>
      <c r="E18" s="12">
        <f>Geral!E28</f>
        <v>1834421.28</v>
      </c>
      <c r="F18" s="12">
        <f>Geral!F28</f>
        <v>2001320.26</v>
      </c>
      <c r="G18" s="12">
        <f>Geral!G28</f>
        <v>1941727.55</v>
      </c>
      <c r="H18" s="12">
        <f>Geral!H28</f>
        <v>1952982.74</v>
      </c>
      <c r="I18" s="12">
        <f>Geral!I28</f>
        <v>0</v>
      </c>
      <c r="J18" s="12">
        <f>Geral!J28</f>
        <v>0</v>
      </c>
      <c r="K18" s="12">
        <f>Geral!K28</f>
        <v>0</v>
      </c>
      <c r="L18" s="12">
        <f>Geral!L28</f>
        <v>0</v>
      </c>
      <c r="M18" s="12">
        <f>Geral!M28</f>
        <v>0</v>
      </c>
      <c r="N18" s="12">
        <f>Geral!N28</f>
        <v>0</v>
      </c>
      <c r="O18" s="12">
        <f>Geral!O28</f>
        <v>0</v>
      </c>
      <c r="P18" s="12">
        <f>Geral!P28</f>
        <v>0</v>
      </c>
      <c r="Q18" s="12">
        <f>SUM(E18:P18)</f>
        <v>7730451.8300000001</v>
      </c>
    </row>
    <row r="19" spans="1:17" x14ac:dyDescent="0.25">
      <c r="A19" s="48" t="s">
        <v>13</v>
      </c>
      <c r="B19" s="48"/>
      <c r="C19" s="48"/>
      <c r="D19" s="48"/>
      <c r="E19" s="12">
        <f>Geral!E30</f>
        <v>301008.89</v>
      </c>
      <c r="F19" s="12">
        <f>Geral!F30</f>
        <v>309399.89</v>
      </c>
      <c r="G19" s="12">
        <f>Geral!G30</f>
        <v>306220.21999999997</v>
      </c>
      <c r="H19" s="12">
        <f>Geral!H30</f>
        <v>306422.48</v>
      </c>
      <c r="I19" s="12">
        <f>Geral!I30</f>
        <v>0</v>
      </c>
      <c r="J19" s="12">
        <f>Geral!J30</f>
        <v>0</v>
      </c>
      <c r="K19" s="12">
        <f>Geral!K30</f>
        <v>0</v>
      </c>
      <c r="L19" s="12">
        <f>Geral!L30</f>
        <v>0</v>
      </c>
      <c r="M19" s="12">
        <f>Geral!M30</f>
        <v>0</v>
      </c>
      <c r="N19" s="12">
        <f>Geral!N30</f>
        <v>0</v>
      </c>
      <c r="O19" s="12">
        <f>Geral!O30</f>
        <v>0</v>
      </c>
      <c r="P19" s="12">
        <f>Geral!P30</f>
        <v>0</v>
      </c>
      <c r="Q19" s="12">
        <f t="shared" ref="Q19:Q25" si="3">SUM(E19:P19)</f>
        <v>1223051.48</v>
      </c>
    </row>
    <row r="20" spans="1:17" x14ac:dyDescent="0.25">
      <c r="A20" s="51" t="s">
        <v>15</v>
      </c>
      <c r="B20" s="51"/>
      <c r="C20" s="51"/>
      <c r="D20" s="51"/>
      <c r="E20" s="12">
        <f>Geral!E32</f>
        <v>0</v>
      </c>
      <c r="F20" s="12">
        <f>Geral!F32</f>
        <v>0</v>
      </c>
      <c r="G20" s="12">
        <f>Geral!G32</f>
        <v>0</v>
      </c>
      <c r="H20" s="12">
        <f>Geral!H32</f>
        <v>0</v>
      </c>
      <c r="I20" s="12">
        <f>Geral!I32</f>
        <v>0</v>
      </c>
      <c r="J20" s="12">
        <f>Geral!J32</f>
        <v>0</v>
      </c>
      <c r="K20" s="12">
        <f>Geral!K32</f>
        <v>0</v>
      </c>
      <c r="L20" s="12">
        <f>Geral!L32</f>
        <v>0</v>
      </c>
      <c r="M20" s="12">
        <f>Geral!M32</f>
        <v>0</v>
      </c>
      <c r="N20" s="12">
        <f>Geral!N32</f>
        <v>0</v>
      </c>
      <c r="O20" s="12">
        <f>Geral!O32</f>
        <v>0</v>
      </c>
      <c r="P20" s="12">
        <f>Geral!P32</f>
        <v>0</v>
      </c>
      <c r="Q20" s="12">
        <f t="shared" si="3"/>
        <v>0</v>
      </c>
    </row>
    <row r="21" spans="1:17" x14ac:dyDescent="0.25">
      <c r="A21" s="51" t="s">
        <v>17</v>
      </c>
      <c r="B21" s="51"/>
      <c r="C21" s="51"/>
      <c r="D21" s="51"/>
      <c r="E21" s="12">
        <f>Geral!E34</f>
        <v>0</v>
      </c>
      <c r="F21" s="12">
        <f>Geral!F34</f>
        <v>0</v>
      </c>
      <c r="G21" s="12">
        <f>Geral!G34</f>
        <v>0</v>
      </c>
      <c r="H21" s="12">
        <f>Geral!H34</f>
        <v>0</v>
      </c>
      <c r="I21" s="12">
        <f>Geral!I34</f>
        <v>0</v>
      </c>
      <c r="J21" s="12">
        <f>Geral!J34</f>
        <v>0</v>
      </c>
      <c r="K21" s="12">
        <f>Geral!K34</f>
        <v>0</v>
      </c>
      <c r="L21" s="12">
        <f>Geral!L34</f>
        <v>0</v>
      </c>
      <c r="M21" s="12">
        <f>Geral!M34</f>
        <v>0</v>
      </c>
      <c r="N21" s="12">
        <f>Geral!N34</f>
        <v>0</v>
      </c>
      <c r="O21" s="12">
        <f>Geral!O34</f>
        <v>0</v>
      </c>
      <c r="P21" s="12">
        <f>Geral!P34</f>
        <v>0</v>
      </c>
      <c r="Q21" s="12">
        <f t="shared" si="3"/>
        <v>0</v>
      </c>
    </row>
    <row r="22" spans="1:17" x14ac:dyDescent="0.25">
      <c r="A22" s="51" t="s">
        <v>19</v>
      </c>
      <c r="B22" s="51"/>
      <c r="C22" s="51"/>
      <c r="D22" s="51"/>
      <c r="E22" s="12">
        <f>Geral!E36</f>
        <v>68705.19</v>
      </c>
      <c r="F22" s="12">
        <f>Geral!F36</f>
        <v>0</v>
      </c>
      <c r="G22" s="12">
        <f>Geral!G36</f>
        <v>144554.20000000001</v>
      </c>
      <c r="H22" s="12">
        <f>Geral!H36</f>
        <v>85236.43</v>
      </c>
      <c r="I22" s="12">
        <f>Geral!I36</f>
        <v>0</v>
      </c>
      <c r="J22" s="12">
        <f>Geral!J36</f>
        <v>0</v>
      </c>
      <c r="K22" s="12">
        <f>Geral!K36</f>
        <v>0</v>
      </c>
      <c r="L22" s="12">
        <f>Geral!L36</f>
        <v>0</v>
      </c>
      <c r="M22" s="12">
        <f>Geral!M36</f>
        <v>0</v>
      </c>
      <c r="N22" s="12">
        <f>Geral!N36</f>
        <v>0</v>
      </c>
      <c r="O22" s="12">
        <f>Geral!O36</f>
        <v>0</v>
      </c>
      <c r="P22" s="12">
        <f>Geral!P36</f>
        <v>0</v>
      </c>
      <c r="Q22" s="12">
        <f t="shared" si="3"/>
        <v>298495.82</v>
      </c>
    </row>
    <row r="23" spans="1:17" x14ac:dyDescent="0.25">
      <c r="A23" s="51" t="s">
        <v>8</v>
      </c>
      <c r="B23" s="51"/>
      <c r="C23" s="51"/>
      <c r="D23" s="51"/>
      <c r="E23" s="12">
        <f>Geral!E38</f>
        <v>9634.5300000000007</v>
      </c>
      <c r="F23" s="12">
        <f>Geral!F38</f>
        <v>4540.28</v>
      </c>
      <c r="G23" s="12">
        <f>Geral!G38</f>
        <v>35111.230000000003</v>
      </c>
      <c r="H23" s="12">
        <f>Geral!H38</f>
        <v>10430.31</v>
      </c>
      <c r="I23" s="12">
        <f>Geral!I38</f>
        <v>0</v>
      </c>
      <c r="J23" s="12">
        <f>Geral!J38</f>
        <v>0</v>
      </c>
      <c r="K23" s="12">
        <f>Geral!K38</f>
        <v>0</v>
      </c>
      <c r="L23" s="12">
        <f>Geral!L38</f>
        <v>0</v>
      </c>
      <c r="M23" s="12">
        <f>Geral!M38</f>
        <v>0</v>
      </c>
      <c r="N23" s="12">
        <f>Geral!N38</f>
        <v>0</v>
      </c>
      <c r="O23" s="12">
        <f>Geral!O38</f>
        <v>0</v>
      </c>
      <c r="P23" s="12">
        <f>Geral!P38</f>
        <v>0</v>
      </c>
      <c r="Q23" s="12">
        <f t="shared" si="3"/>
        <v>59716.350000000006</v>
      </c>
    </row>
    <row r="24" spans="1:17" x14ac:dyDescent="0.25">
      <c r="A24" s="51" t="s">
        <v>68</v>
      </c>
      <c r="B24" s="51"/>
      <c r="C24" s="51"/>
      <c r="D24" s="51"/>
      <c r="E24" s="12">
        <f>Geral!E39</f>
        <v>0</v>
      </c>
      <c r="F24" s="12">
        <f>Geral!F39</f>
        <v>0</v>
      </c>
      <c r="G24" s="12">
        <f>Geral!G39</f>
        <v>0</v>
      </c>
      <c r="H24" s="12">
        <f>Geral!H39</f>
        <v>0</v>
      </c>
      <c r="I24" s="12">
        <f>Geral!I39</f>
        <v>0</v>
      </c>
      <c r="J24" s="12">
        <f>Geral!J39</f>
        <v>0</v>
      </c>
      <c r="K24" s="12">
        <f>Geral!K39</f>
        <v>0</v>
      </c>
      <c r="L24" s="12">
        <f>Geral!L39</f>
        <v>0</v>
      </c>
      <c r="M24" s="12">
        <f>Geral!M39</f>
        <v>0</v>
      </c>
      <c r="N24" s="12">
        <f>Geral!N39</f>
        <v>0</v>
      </c>
      <c r="O24" s="12">
        <f>Geral!O39</f>
        <v>0</v>
      </c>
      <c r="P24" s="12">
        <f>Geral!P39</f>
        <v>0</v>
      </c>
      <c r="Q24" s="12">
        <f t="shared" si="3"/>
        <v>0</v>
      </c>
    </row>
    <row r="25" spans="1:17" x14ac:dyDescent="0.25">
      <c r="A25" s="52" t="s">
        <v>27</v>
      </c>
      <c r="B25" s="52"/>
      <c r="C25" s="52"/>
      <c r="D25" s="52"/>
      <c r="E25" s="14">
        <f>SUM(E18:E24)</f>
        <v>2213769.8899999997</v>
      </c>
      <c r="F25" s="14">
        <f t="shared" ref="F25:P25" si="4">SUM(F18:F24)</f>
        <v>2315260.4299999997</v>
      </c>
      <c r="G25" s="14">
        <f t="shared" si="4"/>
        <v>2427613.2000000002</v>
      </c>
      <c r="H25" s="14">
        <f t="shared" si="4"/>
        <v>2355071.96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3"/>
        <v>9311715.4800000004</v>
      </c>
    </row>
    <row r="26" spans="1:17" x14ac:dyDescent="0.25">
      <c r="A26" s="25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x14ac:dyDescent="0.25">
      <c r="A27" s="57" t="s">
        <v>70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spans="1:17" x14ac:dyDescent="0.25">
      <c r="A28" s="57"/>
      <c r="B28" s="58"/>
      <c r="C28" s="58"/>
      <c r="D28" s="58"/>
      <c r="E28" s="29" t="s">
        <v>41</v>
      </c>
      <c r="F28" s="29" t="s">
        <v>42</v>
      </c>
      <c r="G28" s="29" t="s">
        <v>43</v>
      </c>
      <c r="H28" s="29" t="s">
        <v>36</v>
      </c>
      <c r="I28" s="29" t="s">
        <v>37</v>
      </c>
      <c r="J28" s="29" t="s">
        <v>38</v>
      </c>
      <c r="K28" s="29" t="s">
        <v>2</v>
      </c>
      <c r="L28" s="29" t="s">
        <v>3</v>
      </c>
      <c r="M28" s="29" t="s">
        <v>4</v>
      </c>
      <c r="N28" s="28" t="s">
        <v>29</v>
      </c>
      <c r="O28" s="29" t="s">
        <v>30</v>
      </c>
      <c r="P28" s="28" t="s">
        <v>31</v>
      </c>
      <c r="Q28" s="29" t="s">
        <v>27</v>
      </c>
    </row>
    <row r="29" spans="1:17" x14ac:dyDescent="0.25">
      <c r="A29" s="64" t="s">
        <v>71</v>
      </c>
      <c r="B29" s="65"/>
      <c r="C29" s="65"/>
      <c r="D29" s="65"/>
      <c r="E29" s="31">
        <f>E15</f>
        <v>878788.10999999987</v>
      </c>
      <c r="F29" s="31">
        <f t="shared" ref="F29:Q29" si="5">F15</f>
        <v>323392.25</v>
      </c>
      <c r="G29" s="31">
        <f t="shared" si="5"/>
        <v>1419584.6900000002</v>
      </c>
      <c r="H29" s="31">
        <f t="shared" si="5"/>
        <v>888991.75999999989</v>
      </c>
      <c r="I29" s="31">
        <f t="shared" si="5"/>
        <v>0</v>
      </c>
      <c r="J29" s="31">
        <f t="shared" si="5"/>
        <v>0</v>
      </c>
      <c r="K29" s="31">
        <f t="shared" si="5"/>
        <v>0</v>
      </c>
      <c r="L29" s="31">
        <f t="shared" si="5"/>
        <v>0</v>
      </c>
      <c r="M29" s="31">
        <f t="shared" si="5"/>
        <v>0</v>
      </c>
      <c r="N29" s="32">
        <f t="shared" si="5"/>
        <v>0</v>
      </c>
      <c r="O29" s="31">
        <f t="shared" si="5"/>
        <v>0</v>
      </c>
      <c r="P29" s="32">
        <f t="shared" si="5"/>
        <v>0</v>
      </c>
      <c r="Q29" s="31">
        <f t="shared" si="5"/>
        <v>3510756.8099999996</v>
      </c>
    </row>
    <row r="30" spans="1:17" x14ac:dyDescent="0.25">
      <c r="A30" s="66" t="s">
        <v>72</v>
      </c>
      <c r="B30" s="67"/>
      <c r="C30" s="67"/>
      <c r="D30" s="67"/>
      <c r="E30" s="33">
        <f>E25</f>
        <v>2213769.8899999997</v>
      </c>
      <c r="F30" s="33">
        <f t="shared" ref="F30:Q30" si="6">F25</f>
        <v>2315260.4299999997</v>
      </c>
      <c r="G30" s="33">
        <f t="shared" si="6"/>
        <v>2427613.2000000002</v>
      </c>
      <c r="H30" s="33">
        <f t="shared" si="6"/>
        <v>2355071.96</v>
      </c>
      <c r="I30" s="33">
        <f t="shared" si="6"/>
        <v>0</v>
      </c>
      <c r="J30" s="33">
        <f t="shared" si="6"/>
        <v>0</v>
      </c>
      <c r="K30" s="33">
        <f t="shared" si="6"/>
        <v>0</v>
      </c>
      <c r="L30" s="33">
        <f t="shared" si="6"/>
        <v>0</v>
      </c>
      <c r="M30" s="33">
        <f t="shared" si="6"/>
        <v>0</v>
      </c>
      <c r="N30" s="34">
        <f t="shared" si="6"/>
        <v>0</v>
      </c>
      <c r="O30" s="33">
        <f t="shared" si="6"/>
        <v>0</v>
      </c>
      <c r="P30" s="34">
        <f t="shared" si="6"/>
        <v>0</v>
      </c>
      <c r="Q30" s="33">
        <f t="shared" si="6"/>
        <v>9311715.4800000004</v>
      </c>
    </row>
    <row r="31" spans="1:17" x14ac:dyDescent="0.25">
      <c r="A31" s="60" t="s">
        <v>73</v>
      </c>
      <c r="B31" s="61"/>
      <c r="C31" s="61"/>
      <c r="D31" s="61"/>
      <c r="E31" s="30">
        <f>E29-E30</f>
        <v>-1334981.7799999998</v>
      </c>
      <c r="F31" s="30">
        <f t="shared" ref="F31:Q31" si="7">F29-F30</f>
        <v>-1991868.1799999997</v>
      </c>
      <c r="G31" s="30">
        <f t="shared" si="7"/>
        <v>-1008028.51</v>
      </c>
      <c r="H31" s="30">
        <f t="shared" si="7"/>
        <v>-1466080.2000000002</v>
      </c>
      <c r="I31" s="30">
        <f t="shared" si="7"/>
        <v>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27">
        <f t="shared" si="7"/>
        <v>0</v>
      </c>
      <c r="O31" s="30">
        <f t="shared" si="7"/>
        <v>0</v>
      </c>
      <c r="P31" s="27">
        <f t="shared" si="7"/>
        <v>0</v>
      </c>
      <c r="Q31" s="30">
        <f t="shared" si="7"/>
        <v>-5800958.6700000009</v>
      </c>
    </row>
    <row r="32" spans="1:17" x14ac:dyDescent="0.25">
      <c r="A32" s="56">
        <f ca="1">TODAY()</f>
        <v>43970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</sheetData>
  <mergeCells count="41">
    <mergeCell ref="A1:Q1"/>
    <mergeCell ref="A29:D29"/>
    <mergeCell ref="A30:D30"/>
    <mergeCell ref="A15:D15"/>
    <mergeCell ref="A16:Q17"/>
    <mergeCell ref="A18:D18"/>
    <mergeCell ref="A19:D19"/>
    <mergeCell ref="A10:Q11"/>
    <mergeCell ref="A12:D12"/>
    <mergeCell ref="A13:D13"/>
    <mergeCell ref="A14:D14"/>
    <mergeCell ref="J2:J3"/>
    <mergeCell ref="M2:M3"/>
    <mergeCell ref="N2:N3"/>
    <mergeCell ref="A28:D28"/>
    <mergeCell ref="A20:D20"/>
    <mergeCell ref="A9:D9"/>
    <mergeCell ref="A32:Q32"/>
    <mergeCell ref="A27:Q27"/>
    <mergeCell ref="A23:D23"/>
    <mergeCell ref="A24:D24"/>
    <mergeCell ref="A25:D25"/>
    <mergeCell ref="A31:D31"/>
    <mergeCell ref="A21:D21"/>
    <mergeCell ref="A22:D22"/>
    <mergeCell ref="A6:D6"/>
    <mergeCell ref="A7:D7"/>
    <mergeCell ref="A8:D8"/>
    <mergeCell ref="P2:P3"/>
    <mergeCell ref="Q2:Q3"/>
    <mergeCell ref="A4:D4"/>
    <mergeCell ref="A5:D5"/>
    <mergeCell ref="O2:O3"/>
    <mergeCell ref="G2:G3"/>
    <mergeCell ref="H2:H3"/>
    <mergeCell ref="I2:I3"/>
    <mergeCell ref="F2:F3"/>
    <mergeCell ref="K2:K3"/>
    <mergeCell ref="L2:L3"/>
    <mergeCell ref="A2:D3"/>
    <mergeCell ref="E2:E3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activeCell="A11" sqref="A11:Q12"/>
    </sheetView>
  </sheetViews>
  <sheetFormatPr defaultRowHeight="15" x14ac:dyDescent="0.25"/>
  <cols>
    <col min="4" max="4" width="18.28515625" customWidth="1"/>
    <col min="5" max="17" width="11.28515625" bestFit="1" customWidth="1"/>
  </cols>
  <sheetData>
    <row r="1" spans="1:17" ht="30.75" customHeight="1" x14ac:dyDescent="0.3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46" t="s">
        <v>9</v>
      </c>
      <c r="B2" s="46"/>
      <c r="C2" s="46"/>
      <c r="D2" s="46"/>
      <c r="E2" s="47" t="s">
        <v>41</v>
      </c>
      <c r="F2" s="47" t="s">
        <v>42</v>
      </c>
      <c r="G2" s="47" t="s">
        <v>43</v>
      </c>
      <c r="H2" s="47" t="s">
        <v>36</v>
      </c>
      <c r="I2" s="47" t="s">
        <v>37</v>
      </c>
      <c r="J2" s="47" t="s">
        <v>38</v>
      </c>
      <c r="K2" s="47" t="s">
        <v>2</v>
      </c>
      <c r="L2" s="47" t="s">
        <v>3</v>
      </c>
      <c r="M2" s="47" t="s">
        <v>4</v>
      </c>
      <c r="N2" s="47" t="s">
        <v>29</v>
      </c>
      <c r="O2" s="47" t="s">
        <v>30</v>
      </c>
      <c r="P2" s="47" t="s">
        <v>31</v>
      </c>
      <c r="Q2" s="47" t="s">
        <v>27</v>
      </c>
    </row>
    <row r="3" spans="1:17" x14ac:dyDescent="0.25">
      <c r="A3" s="46"/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5">
      <c r="A4" s="48" t="s">
        <v>50</v>
      </c>
      <c r="B4" s="48"/>
      <c r="C4" s="48"/>
      <c r="D4" s="48"/>
      <c r="E4" s="12">
        <f>Geral!E6</f>
        <v>459808.01</v>
      </c>
      <c r="F4" s="12">
        <f>Geral!F6</f>
        <v>5314.8</v>
      </c>
      <c r="G4" s="12">
        <f>Geral!G6</f>
        <v>993928.63</v>
      </c>
      <c r="H4" s="12">
        <f>Geral!H6</f>
        <v>491358.15</v>
      </c>
      <c r="I4" s="12">
        <f>Geral!I6</f>
        <v>0</v>
      </c>
      <c r="J4" s="12">
        <f>Geral!J6</f>
        <v>0</v>
      </c>
      <c r="K4" s="12">
        <f>Geral!K6</f>
        <v>0</v>
      </c>
      <c r="L4" s="12">
        <f>Geral!L6</f>
        <v>0</v>
      </c>
      <c r="M4" s="12">
        <f>Geral!M6</f>
        <v>0</v>
      </c>
      <c r="N4" s="12">
        <f>Geral!N6</f>
        <v>0</v>
      </c>
      <c r="O4" s="12">
        <f>Geral!O6</f>
        <v>0</v>
      </c>
      <c r="P4" s="12">
        <f>Geral!P6</f>
        <v>0</v>
      </c>
      <c r="Q4" s="12">
        <f>SUM(E4:P4)</f>
        <v>1950409.5899999999</v>
      </c>
    </row>
    <row r="5" spans="1:17" x14ac:dyDescent="0.25">
      <c r="A5" s="49" t="s">
        <v>45</v>
      </c>
      <c r="B5" s="49"/>
      <c r="C5" s="49"/>
      <c r="D5" s="49"/>
      <c r="E5" s="12">
        <f>Geral!E8</f>
        <v>28.66</v>
      </c>
      <c r="F5" s="12">
        <f>Geral!F8</f>
        <v>28.66</v>
      </c>
      <c r="G5" s="12">
        <f>Geral!G8</f>
        <v>28.66</v>
      </c>
      <c r="H5" s="12">
        <f>Geral!H8</f>
        <v>28.66</v>
      </c>
      <c r="I5" s="12">
        <f>Geral!I8</f>
        <v>0</v>
      </c>
      <c r="J5" s="12">
        <f>Geral!J8</f>
        <v>0</v>
      </c>
      <c r="K5" s="12">
        <f>Geral!K8</f>
        <v>0</v>
      </c>
      <c r="L5" s="12">
        <f>Geral!L8</f>
        <v>0</v>
      </c>
      <c r="M5" s="12">
        <f>Geral!M8</f>
        <v>0</v>
      </c>
      <c r="N5" s="12">
        <f>Geral!N8</f>
        <v>0</v>
      </c>
      <c r="O5" s="12">
        <f>Geral!O8</f>
        <v>0</v>
      </c>
      <c r="P5" s="12">
        <f>Geral!P8</f>
        <v>0</v>
      </c>
      <c r="Q5" s="12">
        <f t="shared" ref="Q5:Q9" si="0">SUM(E5:P5)</f>
        <v>114.64</v>
      </c>
    </row>
    <row r="6" spans="1:17" x14ac:dyDescent="0.25">
      <c r="A6" s="48" t="s">
        <v>40</v>
      </c>
      <c r="B6" s="48"/>
      <c r="C6" s="48"/>
      <c r="D6" s="48"/>
      <c r="E6" s="12">
        <f>Geral!E15</f>
        <v>735875.66</v>
      </c>
      <c r="F6" s="12">
        <f>Geral!F15</f>
        <v>8508.52</v>
      </c>
      <c r="G6" s="12">
        <f>Geral!G15</f>
        <v>1591159.15</v>
      </c>
      <c r="H6" s="12">
        <f>Geral!H15</f>
        <v>786616.52</v>
      </c>
      <c r="I6" s="12">
        <f>Geral!I15</f>
        <v>0</v>
      </c>
      <c r="J6" s="12">
        <f>Geral!J15</f>
        <v>0</v>
      </c>
      <c r="K6" s="12">
        <f>Geral!K15</f>
        <v>0</v>
      </c>
      <c r="L6" s="12">
        <f>Geral!L15</f>
        <v>0</v>
      </c>
      <c r="M6" s="12">
        <f>Geral!M15</f>
        <v>0</v>
      </c>
      <c r="N6" s="12">
        <f>Geral!N15</f>
        <v>0</v>
      </c>
      <c r="O6" s="12">
        <f>Geral!O15</f>
        <v>0</v>
      </c>
      <c r="P6" s="12">
        <f>Geral!P15</f>
        <v>0</v>
      </c>
      <c r="Q6" s="12">
        <f t="shared" si="0"/>
        <v>3122159.85</v>
      </c>
    </row>
    <row r="7" spans="1:17" x14ac:dyDescent="0.25">
      <c r="A7" s="48" t="s">
        <v>34</v>
      </c>
      <c r="B7" s="48"/>
      <c r="C7" s="48"/>
      <c r="D7" s="48"/>
      <c r="E7" s="12">
        <f>Geral!E18</f>
        <v>623543.05000000005</v>
      </c>
      <c r="F7" s="12">
        <f>Geral!F18</f>
        <v>510863.73</v>
      </c>
      <c r="G7" s="12">
        <f>Geral!G18</f>
        <v>118040.92</v>
      </c>
      <c r="H7" s="12">
        <f>Geral!H18</f>
        <v>876423.49</v>
      </c>
      <c r="I7" s="12">
        <f>Geral!I18</f>
        <v>0</v>
      </c>
      <c r="J7" s="12">
        <f>Geral!J18</f>
        <v>0</v>
      </c>
      <c r="K7" s="12">
        <f>Geral!K18</f>
        <v>0</v>
      </c>
      <c r="L7" s="12">
        <f>Geral!L18</f>
        <v>0</v>
      </c>
      <c r="M7" s="12">
        <f>Geral!M18</f>
        <v>0</v>
      </c>
      <c r="N7" s="12">
        <f>Geral!N18</f>
        <v>0</v>
      </c>
      <c r="O7" s="12">
        <f>Geral!O18</f>
        <v>0</v>
      </c>
      <c r="P7" s="12">
        <f>Geral!P18</f>
        <v>0</v>
      </c>
      <c r="Q7" s="12">
        <f t="shared" si="0"/>
        <v>2128871.19</v>
      </c>
    </row>
    <row r="8" spans="1:17" x14ac:dyDescent="0.25">
      <c r="A8" s="53" t="s">
        <v>76</v>
      </c>
      <c r="B8" s="54"/>
      <c r="C8" s="54"/>
      <c r="D8" s="55"/>
      <c r="E8" s="12">
        <f>Geral!E10</f>
        <v>0</v>
      </c>
      <c r="F8" s="12">
        <f>Geral!F10</f>
        <v>0</v>
      </c>
      <c r="G8" s="12">
        <f>Geral!G10</f>
        <v>0</v>
      </c>
      <c r="H8" s="12">
        <f>Geral!H10</f>
        <v>0</v>
      </c>
      <c r="I8" s="12">
        <f>Geral!I10</f>
        <v>0</v>
      </c>
      <c r="J8" s="12">
        <f>Geral!J10</f>
        <v>0</v>
      </c>
      <c r="K8" s="12">
        <f>Geral!K10</f>
        <v>0</v>
      </c>
      <c r="L8" s="12">
        <f>Geral!L10</f>
        <v>0</v>
      </c>
      <c r="M8" s="12">
        <f>Geral!M10</f>
        <v>0</v>
      </c>
      <c r="N8" s="12">
        <f>Geral!N10</f>
        <v>0</v>
      </c>
      <c r="O8" s="12">
        <f>Geral!O10</f>
        <v>0</v>
      </c>
      <c r="P8" s="12">
        <f>Geral!P10</f>
        <v>0</v>
      </c>
      <c r="Q8" s="12">
        <f t="shared" si="0"/>
        <v>0</v>
      </c>
    </row>
    <row r="9" spans="1:17" x14ac:dyDescent="0.25">
      <c r="A9" s="53" t="s">
        <v>77</v>
      </c>
      <c r="B9" s="54"/>
      <c r="C9" s="54"/>
      <c r="D9" s="55"/>
      <c r="E9" s="12">
        <f>Geral!E12</f>
        <v>14.57</v>
      </c>
      <c r="F9" s="12">
        <f>Geral!F12</f>
        <v>0</v>
      </c>
      <c r="G9" s="12">
        <f>Geral!G12</f>
        <v>0</v>
      </c>
      <c r="H9" s="12">
        <f>Geral!H12</f>
        <v>0</v>
      </c>
      <c r="I9" s="12">
        <f>Geral!I12</f>
        <v>0</v>
      </c>
      <c r="J9" s="12">
        <f>Geral!J12</f>
        <v>0</v>
      </c>
      <c r="K9" s="12">
        <f>Geral!K12</f>
        <v>0</v>
      </c>
      <c r="L9" s="12">
        <f>Geral!L12</f>
        <v>0</v>
      </c>
      <c r="M9" s="12">
        <f>Geral!M12</f>
        <v>0</v>
      </c>
      <c r="N9" s="12">
        <f>Geral!N12</f>
        <v>0</v>
      </c>
      <c r="O9" s="12">
        <f>Geral!O12</f>
        <v>0</v>
      </c>
      <c r="P9" s="12">
        <f>Geral!P12</f>
        <v>0</v>
      </c>
      <c r="Q9" s="12">
        <f t="shared" si="0"/>
        <v>14.57</v>
      </c>
    </row>
    <row r="10" spans="1:17" x14ac:dyDescent="0.25">
      <c r="A10" s="52" t="s">
        <v>27</v>
      </c>
      <c r="B10" s="52"/>
      <c r="C10" s="52"/>
      <c r="D10" s="52"/>
      <c r="E10" s="14">
        <f>SUM(E4:E9)</f>
        <v>1819269.9500000002</v>
      </c>
      <c r="F10" s="14">
        <f t="shared" ref="F10:O10" si="1">SUM(F4:F9)</f>
        <v>524715.71</v>
      </c>
      <c r="G10" s="14">
        <f t="shared" si="1"/>
        <v>2703157.36</v>
      </c>
      <c r="H10" s="14">
        <f t="shared" si="1"/>
        <v>2154426.8200000003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>SUM(P4:P9)</f>
        <v>0</v>
      </c>
      <c r="Q10" s="14">
        <f>SUM(E10:P10)</f>
        <v>7201569.8399999999</v>
      </c>
    </row>
    <row r="11" spans="1:17" x14ac:dyDescent="0.25">
      <c r="A11" s="46" t="s">
        <v>10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x14ac:dyDescent="0.25">
      <c r="A13" s="48" t="s">
        <v>12</v>
      </c>
      <c r="B13" s="48"/>
      <c r="C13" s="48"/>
      <c r="D13" s="48"/>
      <c r="E13" s="12">
        <f>Geral!E29</f>
        <v>19534.37</v>
      </c>
      <c r="F13" s="12">
        <f>Geral!F29</f>
        <v>19588.37</v>
      </c>
      <c r="G13" s="12">
        <f>Geral!G29</f>
        <v>20464.82</v>
      </c>
      <c r="H13" s="12">
        <f>Geral!H29</f>
        <v>20633.37</v>
      </c>
      <c r="I13" s="12">
        <f>Geral!I29</f>
        <v>0</v>
      </c>
      <c r="J13" s="12">
        <f>Geral!J29</f>
        <v>0</v>
      </c>
      <c r="K13" s="12">
        <f>Geral!K29</f>
        <v>0</v>
      </c>
      <c r="L13" s="12">
        <f>Geral!L29</f>
        <v>0</v>
      </c>
      <c r="M13" s="12">
        <f>Geral!M29</f>
        <v>0</v>
      </c>
      <c r="N13" s="12">
        <f>Geral!N29</f>
        <v>0</v>
      </c>
      <c r="O13" s="12">
        <f>Geral!O29</f>
        <v>0</v>
      </c>
      <c r="P13" s="12">
        <f>Geral!P29</f>
        <v>0</v>
      </c>
      <c r="Q13" s="12">
        <f t="shared" ref="Q13:Q18" si="2">SUM(E13:P13)</f>
        <v>80220.929999999993</v>
      </c>
    </row>
    <row r="14" spans="1:17" x14ac:dyDescent="0.25">
      <c r="A14" s="51" t="s">
        <v>14</v>
      </c>
      <c r="B14" s="51"/>
      <c r="C14" s="51"/>
      <c r="D14" s="51"/>
      <c r="E14" s="12">
        <f>Geral!E31</f>
        <v>7382.77</v>
      </c>
      <c r="F14" s="12">
        <f>Geral!F31</f>
        <v>7388.77</v>
      </c>
      <c r="G14" s="12">
        <f>Geral!G31</f>
        <v>7388.77</v>
      </c>
      <c r="H14" s="12">
        <f>Geral!H31</f>
        <v>7388.77</v>
      </c>
      <c r="I14" s="12">
        <f>Geral!I31</f>
        <v>0</v>
      </c>
      <c r="J14" s="12">
        <f>Geral!J31</f>
        <v>0</v>
      </c>
      <c r="K14" s="12">
        <f>Geral!K31</f>
        <v>0</v>
      </c>
      <c r="L14" s="12">
        <f>Geral!L31</f>
        <v>0</v>
      </c>
      <c r="M14" s="12">
        <f>Geral!M31</f>
        <v>0</v>
      </c>
      <c r="N14" s="12">
        <f>Geral!N31</f>
        <v>0</v>
      </c>
      <c r="O14" s="12">
        <f>Geral!O31</f>
        <v>0</v>
      </c>
      <c r="P14" s="12">
        <f>Geral!P31</f>
        <v>0</v>
      </c>
      <c r="Q14" s="12">
        <f t="shared" si="2"/>
        <v>29549.08</v>
      </c>
    </row>
    <row r="15" spans="1:17" x14ac:dyDescent="0.25">
      <c r="A15" s="51" t="s">
        <v>16</v>
      </c>
      <c r="B15" s="51"/>
      <c r="C15" s="51"/>
      <c r="D15" s="51"/>
      <c r="E15" s="12">
        <f>Geral!E33</f>
        <v>3014.44</v>
      </c>
      <c r="F15" s="12">
        <f>Geral!F33</f>
        <v>0</v>
      </c>
      <c r="G15" s="12">
        <f>Geral!G33</f>
        <v>4618.91</v>
      </c>
      <c r="H15" s="12">
        <f>Geral!H33</f>
        <v>2139.2800000000002</v>
      </c>
      <c r="I15" s="12">
        <f>Geral!I33</f>
        <v>0</v>
      </c>
      <c r="J15" s="12">
        <f>Geral!J33</f>
        <v>0</v>
      </c>
      <c r="K15" s="12">
        <f>Geral!K33</f>
        <v>0</v>
      </c>
      <c r="L15" s="12">
        <f>Geral!L33</f>
        <v>0</v>
      </c>
      <c r="M15" s="12">
        <f>Geral!M33</f>
        <v>0</v>
      </c>
      <c r="N15" s="12">
        <f>Geral!N33</f>
        <v>0</v>
      </c>
      <c r="O15" s="12">
        <f>Geral!O33</f>
        <v>0</v>
      </c>
      <c r="P15" s="12">
        <f>Geral!P33</f>
        <v>0</v>
      </c>
      <c r="Q15" s="12">
        <f t="shared" si="2"/>
        <v>9772.630000000001</v>
      </c>
    </row>
    <row r="16" spans="1:17" x14ac:dyDescent="0.25">
      <c r="A16" s="51" t="s">
        <v>18</v>
      </c>
      <c r="B16" s="51"/>
      <c r="C16" s="51"/>
      <c r="D16" s="51"/>
      <c r="E16" s="12">
        <f>Geral!E35</f>
        <v>65782.740000000005</v>
      </c>
      <c r="F16" s="12">
        <f>Geral!F35</f>
        <v>0</v>
      </c>
      <c r="G16" s="12">
        <f>Geral!G35</f>
        <v>128054.99</v>
      </c>
      <c r="H16" s="12">
        <f>Geral!H35</f>
        <v>63923.47</v>
      </c>
      <c r="I16" s="12">
        <f>Geral!I35</f>
        <v>0</v>
      </c>
      <c r="J16" s="12">
        <f>Geral!J35</f>
        <v>0</v>
      </c>
      <c r="K16" s="12">
        <f>Geral!K35</f>
        <v>0</v>
      </c>
      <c r="L16" s="12">
        <f>Geral!L35</f>
        <v>0</v>
      </c>
      <c r="M16" s="12">
        <f>Geral!M35</f>
        <v>0</v>
      </c>
      <c r="N16" s="12">
        <f>Geral!N35</f>
        <v>0</v>
      </c>
      <c r="O16" s="12">
        <f>Geral!O35</f>
        <v>0</v>
      </c>
      <c r="P16" s="12">
        <f>Geral!P35</f>
        <v>0</v>
      </c>
      <c r="Q16" s="12">
        <f t="shared" si="2"/>
        <v>257761.2</v>
      </c>
    </row>
    <row r="17" spans="1:17" x14ac:dyDescent="0.25">
      <c r="A17" s="51" t="s">
        <v>20</v>
      </c>
      <c r="B17" s="51"/>
      <c r="C17" s="51"/>
      <c r="D17" s="51"/>
      <c r="E17" s="12">
        <f>Geral!E37</f>
        <v>29571.53</v>
      </c>
      <c r="F17" s="12">
        <f>Geral!F37</f>
        <v>0</v>
      </c>
      <c r="G17" s="12">
        <f>Geral!G37</f>
        <v>124550.03</v>
      </c>
      <c r="H17" s="12">
        <f>Geral!H37</f>
        <v>74127.08</v>
      </c>
      <c r="I17" s="12">
        <f>Geral!I37</f>
        <v>0</v>
      </c>
      <c r="J17" s="12">
        <f>Geral!J37</f>
        <v>0</v>
      </c>
      <c r="K17" s="12">
        <f>Geral!K37</f>
        <v>0</v>
      </c>
      <c r="L17" s="12">
        <f>Geral!L37</f>
        <v>0</v>
      </c>
      <c r="M17" s="12">
        <f>Geral!M37</f>
        <v>0</v>
      </c>
      <c r="N17" s="12">
        <f>Geral!N37</f>
        <v>0</v>
      </c>
      <c r="O17" s="12">
        <f>Geral!O37</f>
        <v>0</v>
      </c>
      <c r="P17" s="12">
        <f>Geral!P37</f>
        <v>0</v>
      </c>
      <c r="Q17" s="12">
        <f t="shared" si="2"/>
        <v>228248.64</v>
      </c>
    </row>
    <row r="18" spans="1:17" x14ac:dyDescent="0.25">
      <c r="A18" s="52" t="s">
        <v>27</v>
      </c>
      <c r="B18" s="52"/>
      <c r="C18" s="52"/>
      <c r="D18" s="52"/>
      <c r="E18" s="14">
        <f>SUM(E13:E17)</f>
        <v>125285.85</v>
      </c>
      <c r="F18" s="14">
        <f t="shared" ref="F18:P18" si="3">SUM(F13:F17)</f>
        <v>26977.14</v>
      </c>
      <c r="G18" s="14">
        <f t="shared" si="3"/>
        <v>285077.52</v>
      </c>
      <c r="H18" s="14">
        <f t="shared" si="3"/>
        <v>168211.97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14">
        <f t="shared" si="2"/>
        <v>605552.48</v>
      </c>
    </row>
    <row r="19" spans="1:17" x14ac:dyDescent="0.25">
      <c r="A19" s="23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57" t="s">
        <v>70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</row>
    <row r="21" spans="1:17" x14ac:dyDescent="0.25">
      <c r="A21" s="57"/>
      <c r="B21" s="58"/>
      <c r="C21" s="58"/>
      <c r="D21" s="58"/>
      <c r="E21" s="29" t="s">
        <v>41</v>
      </c>
      <c r="F21" s="29" t="s">
        <v>42</v>
      </c>
      <c r="G21" s="29" t="s">
        <v>43</v>
      </c>
      <c r="H21" s="29" t="s">
        <v>36</v>
      </c>
      <c r="I21" s="29" t="s">
        <v>37</v>
      </c>
      <c r="J21" s="29" t="s">
        <v>38</v>
      </c>
      <c r="K21" s="29" t="s">
        <v>2</v>
      </c>
      <c r="L21" s="29" t="s">
        <v>3</v>
      </c>
      <c r="M21" s="29" t="s">
        <v>4</v>
      </c>
      <c r="N21" s="28" t="s">
        <v>29</v>
      </c>
      <c r="O21" s="29" t="s">
        <v>30</v>
      </c>
      <c r="P21" s="28" t="s">
        <v>31</v>
      </c>
      <c r="Q21" s="29" t="s">
        <v>27</v>
      </c>
    </row>
    <row r="22" spans="1:17" x14ac:dyDescent="0.25">
      <c r="A22" s="64" t="s">
        <v>71</v>
      </c>
      <c r="B22" s="65"/>
      <c r="C22" s="65"/>
      <c r="D22" s="65"/>
      <c r="E22" s="31">
        <f>E10</f>
        <v>1819269.9500000002</v>
      </c>
      <c r="F22" s="31">
        <f t="shared" ref="F22:Q22" si="4">F10</f>
        <v>524715.71</v>
      </c>
      <c r="G22" s="31">
        <f t="shared" si="4"/>
        <v>2703157.36</v>
      </c>
      <c r="H22" s="31">
        <f t="shared" si="4"/>
        <v>2154426.8200000003</v>
      </c>
      <c r="I22" s="31">
        <f t="shared" si="4"/>
        <v>0</v>
      </c>
      <c r="J22" s="31">
        <f t="shared" si="4"/>
        <v>0</v>
      </c>
      <c r="K22" s="31">
        <f t="shared" si="4"/>
        <v>0</v>
      </c>
      <c r="L22" s="31">
        <f t="shared" si="4"/>
        <v>0</v>
      </c>
      <c r="M22" s="31">
        <f t="shared" si="4"/>
        <v>0</v>
      </c>
      <c r="N22" s="31">
        <f t="shared" si="4"/>
        <v>0</v>
      </c>
      <c r="O22" s="31">
        <f t="shared" si="4"/>
        <v>0</v>
      </c>
      <c r="P22" s="31">
        <f t="shared" si="4"/>
        <v>0</v>
      </c>
      <c r="Q22" s="31">
        <f t="shared" si="4"/>
        <v>7201569.8399999999</v>
      </c>
    </row>
    <row r="23" spans="1:17" x14ac:dyDescent="0.25">
      <c r="A23" s="66" t="s">
        <v>72</v>
      </c>
      <c r="B23" s="67"/>
      <c r="C23" s="67"/>
      <c r="D23" s="67"/>
      <c r="E23" s="33">
        <f>E18</f>
        <v>125285.85</v>
      </c>
      <c r="F23" s="33">
        <f t="shared" ref="F23:Q23" si="5">F18</f>
        <v>26977.14</v>
      </c>
      <c r="G23" s="33">
        <f t="shared" si="5"/>
        <v>285077.52</v>
      </c>
      <c r="H23" s="33">
        <f t="shared" si="5"/>
        <v>168211.97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 t="shared" si="5"/>
        <v>0</v>
      </c>
      <c r="O23" s="33">
        <f t="shared" si="5"/>
        <v>0</v>
      </c>
      <c r="P23" s="33">
        <f t="shared" si="5"/>
        <v>0</v>
      </c>
      <c r="Q23" s="33">
        <f t="shared" si="5"/>
        <v>605552.48</v>
      </c>
    </row>
    <row r="24" spans="1:17" x14ac:dyDescent="0.25">
      <c r="A24" s="60" t="s">
        <v>73</v>
      </c>
      <c r="B24" s="61"/>
      <c r="C24" s="61"/>
      <c r="D24" s="61"/>
      <c r="E24" s="30">
        <f>E22-E23</f>
        <v>1693984.1</v>
      </c>
      <c r="F24" s="30">
        <f t="shared" ref="F24:Q24" si="6">F22-F23</f>
        <v>497738.56999999995</v>
      </c>
      <c r="G24" s="30">
        <f t="shared" si="6"/>
        <v>2418079.84</v>
      </c>
      <c r="H24" s="30">
        <f t="shared" si="6"/>
        <v>1986214.8500000003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27">
        <f t="shared" si="6"/>
        <v>0</v>
      </c>
      <c r="O24" s="30">
        <f t="shared" si="6"/>
        <v>0</v>
      </c>
      <c r="P24" s="27">
        <f t="shared" si="6"/>
        <v>0</v>
      </c>
      <c r="Q24" s="30">
        <f t="shared" si="6"/>
        <v>6596017.3599999994</v>
      </c>
    </row>
    <row r="25" spans="1:17" x14ac:dyDescent="0.25">
      <c r="A25" s="56">
        <f ca="1">TODAY()</f>
        <v>43970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</sheetData>
  <mergeCells count="35">
    <mergeCell ref="A1:Q1"/>
    <mergeCell ref="K2:K3"/>
    <mergeCell ref="A7:D7"/>
    <mergeCell ref="A6:D6"/>
    <mergeCell ref="P2:P3"/>
    <mergeCell ref="M2:M3"/>
    <mergeCell ref="N2:N3"/>
    <mergeCell ref="O2:O3"/>
    <mergeCell ref="A2:D3"/>
    <mergeCell ref="E2:E3"/>
    <mergeCell ref="F2:F3"/>
    <mergeCell ref="G2:G3"/>
    <mergeCell ref="H2:H3"/>
    <mergeCell ref="I2:I3"/>
    <mergeCell ref="A4:D4"/>
    <mergeCell ref="A5:D5"/>
    <mergeCell ref="A25:Q25"/>
    <mergeCell ref="A20:Q20"/>
    <mergeCell ref="A21:D21"/>
    <mergeCell ref="A22:D22"/>
    <mergeCell ref="A23:D23"/>
    <mergeCell ref="A24:D24"/>
    <mergeCell ref="A18:D18"/>
    <mergeCell ref="A15:D15"/>
    <mergeCell ref="A16:D16"/>
    <mergeCell ref="A17:D17"/>
    <mergeCell ref="A10:D10"/>
    <mergeCell ref="A11:Q12"/>
    <mergeCell ref="A14:D14"/>
    <mergeCell ref="A13:D13"/>
    <mergeCell ref="J2:J3"/>
    <mergeCell ref="Q2:Q3"/>
    <mergeCell ref="L2:L3"/>
    <mergeCell ref="A8:D8"/>
    <mergeCell ref="A9:D9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workbookViewId="0">
      <selection activeCell="I7" sqref="I7:I8"/>
    </sheetView>
  </sheetViews>
  <sheetFormatPr defaultColWidth="0" defaultRowHeight="15" x14ac:dyDescent="0.25"/>
  <cols>
    <col min="1" max="8" width="9.140625" customWidth="1"/>
    <col min="9" max="9" width="13.28515625" customWidth="1"/>
    <col min="10" max="10" width="13.42578125" bestFit="1" customWidth="1"/>
    <col min="11" max="11" width="13" customWidth="1"/>
    <col min="12" max="12" width="14.140625" customWidth="1"/>
    <col min="13" max="16384" width="9.140625" hidden="1"/>
  </cols>
  <sheetData>
    <row r="1" spans="1:12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x14ac:dyDescent="0.25">
      <c r="A3" s="117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x14ac:dyDescent="0.25">
      <c r="A5" s="123" t="str">
        <f>"Analisando os balancetes dos meses de "&amp;I7&amp;", "&amp;J7&amp;" e "&amp;K7&amp;" de "&amp;Geral!A1&amp;", constatamos que:"</f>
        <v>Analisando os balancetes dos meses de Janeiro, Fevereiro e Março de 2020, constatamos que: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x14ac:dyDescent="0.2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1:12" x14ac:dyDescent="0.25">
      <c r="A7" s="69" t="s">
        <v>9</v>
      </c>
      <c r="B7" s="69"/>
      <c r="C7" s="69"/>
      <c r="D7" s="69"/>
      <c r="E7" s="69"/>
      <c r="F7" s="69"/>
      <c r="G7" s="69"/>
      <c r="H7" s="70"/>
      <c r="I7" s="129" t="s">
        <v>41</v>
      </c>
      <c r="J7" s="129" t="s">
        <v>42</v>
      </c>
      <c r="K7" s="129" t="s">
        <v>43</v>
      </c>
      <c r="L7" s="129" t="s">
        <v>27</v>
      </c>
    </row>
    <row r="8" spans="1:12" x14ac:dyDescent="0.25">
      <c r="A8" s="72"/>
      <c r="B8" s="72"/>
      <c r="C8" s="72"/>
      <c r="D8" s="72"/>
      <c r="E8" s="72"/>
      <c r="F8" s="72"/>
      <c r="G8" s="72"/>
      <c r="H8" s="73"/>
      <c r="I8" s="129"/>
      <c r="J8" s="129"/>
      <c r="K8" s="129"/>
      <c r="L8" s="129"/>
    </row>
    <row r="9" spans="1:12" x14ac:dyDescent="0.25">
      <c r="A9" s="48" t="str">
        <f>Geral!A5</f>
        <v>Contribuição dos Servidores Ativos - Plano Financeiro</v>
      </c>
      <c r="B9" s="48"/>
      <c r="C9" s="48"/>
      <c r="D9" s="48"/>
      <c r="E9" s="48"/>
      <c r="F9" s="48"/>
      <c r="G9" s="48"/>
      <c r="H9" s="48"/>
      <c r="I9" s="3">
        <f>VLOOKUP(I7,Dados!A2:AJ13,2,0)</f>
        <v>222022.97</v>
      </c>
      <c r="J9" s="3">
        <f>VLOOKUP(J7,Dados!A2:AJ13,2,0)</f>
        <v>0</v>
      </c>
      <c r="K9" s="3">
        <f>VLOOKUP(K7,Dados!A2:AJ13,2,0)</f>
        <v>470896.52</v>
      </c>
      <c r="L9" s="3">
        <f>SUM(I9:K9)</f>
        <v>692919.49</v>
      </c>
    </row>
    <row r="10" spans="1:12" x14ac:dyDescent="0.25">
      <c r="A10" s="48" t="str">
        <f>Geral!A6</f>
        <v>Contribuição dos Servidores Ativos - Plano Previdenciário</v>
      </c>
      <c r="B10" s="48"/>
      <c r="C10" s="48"/>
      <c r="D10" s="48"/>
      <c r="E10" s="48"/>
      <c r="F10" s="48"/>
      <c r="G10" s="48"/>
      <c r="H10" s="48"/>
      <c r="I10" s="3">
        <f>VLOOKUP(I7,Dados!A2:AJ13,3,0)</f>
        <v>459808.01</v>
      </c>
      <c r="J10" s="3">
        <f>VLOOKUP(J7,Dados!A2:AJ13,3,0)</f>
        <v>5314.8</v>
      </c>
      <c r="K10" s="3">
        <f>VLOOKUP(K7,Dados!A2:AJ13,3,0)</f>
        <v>993928.63</v>
      </c>
      <c r="L10" s="3">
        <f>SUM(I10:K10)</f>
        <v>1459051.44</v>
      </c>
    </row>
    <row r="11" spans="1:12" x14ac:dyDescent="0.25">
      <c r="A11" s="48" t="str">
        <f>Geral!A7</f>
        <v>Contribuição dos Servidores Inativos  - Plano Financeiro</v>
      </c>
      <c r="B11" s="48"/>
      <c r="C11" s="48"/>
      <c r="D11" s="48"/>
      <c r="E11" s="48"/>
      <c r="F11" s="48"/>
      <c r="G11" s="48"/>
      <c r="H11" s="48"/>
      <c r="I11" s="3">
        <f>VLOOKUP(I7,Dados!A2:AJ13,4,0)</f>
        <v>3661.76</v>
      </c>
      <c r="J11" s="3">
        <f>VLOOKUP(J7,Dados!A2:AJ13,4,0)</f>
        <v>4815.12</v>
      </c>
      <c r="K11" s="3">
        <f>VLOOKUP(K7,Dados!A2:AJ13,4,0)</f>
        <v>4815.12</v>
      </c>
      <c r="L11" s="3">
        <f>SUM(I11:K11)</f>
        <v>13292</v>
      </c>
    </row>
    <row r="12" spans="1:12" x14ac:dyDescent="0.25">
      <c r="A12" s="53" t="str">
        <f>Geral!A8</f>
        <v>Contribuição dos Servidores Inativos  - Plano Previdenciário</v>
      </c>
      <c r="B12" s="54"/>
      <c r="C12" s="54"/>
      <c r="D12" s="54"/>
      <c r="E12" s="54"/>
      <c r="F12" s="54"/>
      <c r="G12" s="54"/>
      <c r="H12" s="55"/>
      <c r="I12" s="3">
        <f>VLOOKUP(I7,Dados!A2:AJ13,5,0)</f>
        <v>28.66</v>
      </c>
      <c r="J12" s="3">
        <f>VLOOKUP(J7,Dados!A2:AJ13,5,0)</f>
        <v>28.66</v>
      </c>
      <c r="K12" s="3">
        <f>VLOOKUP(K7,Dados!A2:AJ13,5,0)</f>
        <v>28.66</v>
      </c>
      <c r="L12" s="3">
        <f>SUM(I12:K12)</f>
        <v>85.98</v>
      </c>
    </row>
    <row r="13" spans="1:12" x14ac:dyDescent="0.25">
      <c r="A13" s="48" t="str">
        <f>Geral!A9</f>
        <v>Contribuição dos Pensionistas - Plano Financeiro</v>
      </c>
      <c r="B13" s="48"/>
      <c r="C13" s="48"/>
      <c r="D13" s="48"/>
      <c r="E13" s="48"/>
      <c r="F13" s="48"/>
      <c r="G13" s="48"/>
      <c r="H13" s="48"/>
      <c r="I13" s="3">
        <f>VLOOKUP(I7,Dados!A2:AJ13,6,0)</f>
        <v>280.44</v>
      </c>
      <c r="J13" s="3">
        <f>VLOOKUP(J7,Dados!A2:AJ13,6,0)</f>
        <v>310.81</v>
      </c>
      <c r="K13" s="3">
        <f>VLOOKUP(K7,Dados!A2:AJ13,6,0)</f>
        <v>310.81</v>
      </c>
      <c r="L13" s="3">
        <f>SUM(I13:K13)</f>
        <v>902.06</v>
      </c>
    </row>
    <row r="14" spans="1:12" x14ac:dyDescent="0.25">
      <c r="A14" s="48" t="str">
        <f>Geral!A10</f>
        <v>Contribuição dos Pensionistas - Plano previdenciário</v>
      </c>
      <c r="B14" s="48"/>
      <c r="C14" s="48"/>
      <c r="D14" s="48"/>
      <c r="E14" s="48"/>
      <c r="F14" s="48"/>
      <c r="G14" s="48"/>
      <c r="H14" s="48"/>
      <c r="I14" s="3">
        <f>VLOOKUP(I7,Dados!A2:AJ13,7,0)</f>
        <v>0</v>
      </c>
      <c r="J14" s="3">
        <f>VLOOKUP(J7,Dados!A2:AJ13,7,0)</f>
        <v>0</v>
      </c>
      <c r="K14" s="3">
        <f>VLOOKUP(K7,Dados!A2:AJ13,7,0)</f>
        <v>0</v>
      </c>
      <c r="L14" s="3">
        <f t="shared" ref="L14:L16" si="0">SUM(I14:K14)</f>
        <v>0</v>
      </c>
    </row>
    <row r="15" spans="1:12" x14ac:dyDescent="0.25">
      <c r="A15" s="48" t="str">
        <f>Geral!A11</f>
        <v>Restituições - Plano Financeiro</v>
      </c>
      <c r="B15" s="48"/>
      <c r="C15" s="48"/>
      <c r="D15" s="48"/>
      <c r="E15" s="48"/>
      <c r="F15" s="48"/>
      <c r="G15" s="48"/>
      <c r="H15" s="48"/>
      <c r="I15" s="3">
        <f>VLOOKUP(I7,Dados!A2:AJ13,8,0)</f>
        <v>0</v>
      </c>
      <c r="J15" s="3">
        <f>VLOOKUP(J7,Dados!A2:AJ13,8,0)</f>
        <v>0</v>
      </c>
      <c r="K15" s="3">
        <f>VLOOKUP(K7,Dados!A2:AJ13,8,0)</f>
        <v>3197.83</v>
      </c>
      <c r="L15" s="3">
        <f t="shared" si="0"/>
        <v>3197.83</v>
      </c>
    </row>
    <row r="16" spans="1:12" x14ac:dyDescent="0.25">
      <c r="A16" s="48" t="str">
        <f>Geral!A12</f>
        <v>Restituições - Plano Previdenciário</v>
      </c>
      <c r="B16" s="48"/>
      <c r="C16" s="48"/>
      <c r="D16" s="48"/>
      <c r="E16" s="48"/>
      <c r="F16" s="48"/>
      <c r="G16" s="48"/>
      <c r="H16" s="48"/>
      <c r="I16" s="3">
        <f>VLOOKUP(I7,Dados!A2:AJ13,9,0)</f>
        <v>14.57</v>
      </c>
      <c r="J16" s="3">
        <f>VLOOKUP(J7,Dados!A2:AJ13,9,0)</f>
        <v>0</v>
      </c>
      <c r="K16" s="3">
        <f>VLOOKUP(K7,Dados!A2:AJ13,9,0)</f>
        <v>0</v>
      </c>
      <c r="L16" s="3">
        <f t="shared" si="0"/>
        <v>14.57</v>
      </c>
    </row>
    <row r="17" spans="1:12" x14ac:dyDescent="0.2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x14ac:dyDescent="0.25">
      <c r="A18" s="48" t="str">
        <f>Geral!A14</f>
        <v>Contribuição Patronal dos Servidores Ativos - Plano Financeiro</v>
      </c>
      <c r="B18" s="48"/>
      <c r="C18" s="48"/>
      <c r="D18" s="48"/>
      <c r="E18" s="48"/>
      <c r="F18" s="48"/>
      <c r="G18" s="48"/>
      <c r="H18" s="48"/>
      <c r="I18" s="3">
        <f>VLOOKUP(I7,Dados!A2:AJ13,10,0)</f>
        <v>355423.91</v>
      </c>
      <c r="J18" s="3">
        <f>VLOOKUP(J7,Dados!A2:AJ13,10,0)</f>
        <v>0</v>
      </c>
      <c r="K18" s="3">
        <f>VLOOKUP(K7,Dados!A2:AJ13,10,0)</f>
        <v>753813.91</v>
      </c>
      <c r="L18" s="3">
        <f>SUM(I18:K18)</f>
        <v>1109237.82</v>
      </c>
    </row>
    <row r="19" spans="1:12" x14ac:dyDescent="0.25">
      <c r="A19" s="48" t="str">
        <f>Geral!A15</f>
        <v xml:space="preserve">Contribuição Patronal dos Servidores Ativos - Plano Previdenciário </v>
      </c>
      <c r="B19" s="48"/>
      <c r="C19" s="48"/>
      <c r="D19" s="48"/>
      <c r="E19" s="48"/>
      <c r="F19" s="48"/>
      <c r="G19" s="48"/>
      <c r="H19" s="48"/>
      <c r="I19" s="3">
        <f>VLOOKUP(I7,Dados!A2:AJ13,11,0)</f>
        <v>735875.66</v>
      </c>
      <c r="J19" s="3">
        <f>VLOOKUP(J7,Dados!A2:AJ13,11,0)</f>
        <v>8508.52</v>
      </c>
      <c r="K19" s="3">
        <f>VLOOKUP(K7,Dados!A2:AJ13,11,0)</f>
        <v>1591159.15</v>
      </c>
      <c r="L19" s="3">
        <f>SUM(I19:K19)</f>
        <v>2335543.33</v>
      </c>
    </row>
    <row r="20" spans="1:12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</row>
    <row r="21" spans="1:12" x14ac:dyDescent="0.25">
      <c r="A21" s="48" t="str">
        <f>Geral!A17</f>
        <v xml:space="preserve">Rendimento das Aplicações Financeiras - Plano Financeiro </v>
      </c>
      <c r="B21" s="48"/>
      <c r="C21" s="48"/>
      <c r="D21" s="48"/>
      <c r="E21" s="48"/>
      <c r="F21" s="48"/>
      <c r="G21" s="48"/>
      <c r="H21" s="48"/>
      <c r="I21" s="3">
        <f>VLOOKUP(I7,Dados!A2:AJ13,12,0)</f>
        <v>79453.960000000006</v>
      </c>
      <c r="J21" s="3">
        <f>VLOOKUP(J7,Dados!A2:AJ13,12,0)</f>
        <v>50584.65</v>
      </c>
      <c r="K21" s="3">
        <f>VLOOKUP(K7,Dados!A2:AJ13,12,0)</f>
        <v>9969.23</v>
      </c>
      <c r="L21" s="3">
        <f>SUM(I21:K21)</f>
        <v>140007.84000000003</v>
      </c>
    </row>
    <row r="22" spans="1:12" x14ac:dyDescent="0.25">
      <c r="A22" s="48" t="str">
        <f>Geral!A18</f>
        <v xml:space="preserve">Rendimento das Aplicações Financeiras - Plano Previdenciário </v>
      </c>
      <c r="B22" s="48"/>
      <c r="C22" s="48"/>
      <c r="D22" s="48"/>
      <c r="E22" s="48"/>
      <c r="F22" s="48"/>
      <c r="G22" s="48"/>
      <c r="H22" s="48"/>
      <c r="I22" s="3">
        <f>VLOOKUP(I7,Dados!A2:AJ13,13,0)</f>
        <v>623543.05000000005</v>
      </c>
      <c r="J22" s="3">
        <f>VLOOKUP(J7,Dados!A2:AJ13,13,0)</f>
        <v>510863.73</v>
      </c>
      <c r="K22" s="3">
        <f>VLOOKUP(K7,Dados!A2:AJ13,13,0)</f>
        <v>118040.92</v>
      </c>
      <c r="L22" s="3">
        <f>SUM(I22:K22)</f>
        <v>1252447.7</v>
      </c>
    </row>
    <row r="23" spans="1:12" x14ac:dyDescent="0.25">
      <c r="A23" s="101" t="s">
        <v>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</row>
    <row r="24" spans="1:12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x14ac:dyDescent="0.25">
      <c r="A25" s="48" t="str">
        <f>Geral!A21</f>
        <v>Patronal</v>
      </c>
      <c r="B25" s="48"/>
      <c r="C25" s="48"/>
      <c r="D25" s="48"/>
      <c r="E25" s="48"/>
      <c r="F25" s="48"/>
      <c r="G25" s="48"/>
      <c r="H25" s="48"/>
      <c r="I25" s="3">
        <f>VLOOKUP(I7,Dados!A2:AJ13,14,0)</f>
        <v>121488.11</v>
      </c>
      <c r="J25" s="3">
        <f>VLOOKUP(J7,Dados!A2:AJ13,14,0)</f>
        <v>122145.21</v>
      </c>
      <c r="K25" s="3">
        <f>VLOOKUP(K7,Dados!A2:AJ13,14,0)</f>
        <v>122570.23</v>
      </c>
      <c r="L25" s="3">
        <f>SUM(I25:K25)</f>
        <v>366203.55</v>
      </c>
    </row>
    <row r="26" spans="1:12" x14ac:dyDescent="0.25">
      <c r="A26" s="48" t="str">
        <f>Geral!A22</f>
        <v>Servidor</v>
      </c>
      <c r="B26" s="48"/>
      <c r="C26" s="48"/>
      <c r="D26" s="48"/>
      <c r="E26" s="48"/>
      <c r="F26" s="48"/>
      <c r="G26" s="48"/>
      <c r="H26" s="48"/>
      <c r="I26" s="3">
        <f>VLOOKUP(I7,Dados!A2:AJ13,15,0)</f>
        <v>0</v>
      </c>
      <c r="J26" s="3">
        <f>VLOOKUP(J7,Dados!A2:AJ13,15,0)</f>
        <v>0</v>
      </c>
      <c r="K26" s="3">
        <f>VLOOKUP(K7,Dados!A2:AJ13,15,0)</f>
        <v>0</v>
      </c>
      <c r="L26" s="3">
        <f>SUM(I26:K26)</f>
        <v>0</v>
      </c>
    </row>
    <row r="27" spans="1:12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</row>
    <row r="28" spans="1:12" x14ac:dyDescent="0.25">
      <c r="A28" s="48" t="str">
        <f>Geral!A24</f>
        <v xml:space="preserve">Compensação Previdenciária </v>
      </c>
      <c r="B28" s="48"/>
      <c r="C28" s="48"/>
      <c r="D28" s="48"/>
      <c r="E28" s="48"/>
      <c r="F28" s="48"/>
      <c r="G28" s="48"/>
      <c r="H28" s="48"/>
      <c r="I28" s="3">
        <f>VLOOKUP(I7,Dados!A2:AJ13,16,0)</f>
        <v>96456.960000000006</v>
      </c>
      <c r="J28" s="3">
        <f>VLOOKUP(J7,Dados!A2:AJ13,16,0)</f>
        <v>145536.46</v>
      </c>
      <c r="K28" s="3">
        <f>VLOOKUP(K7,Dados!A2:AJ13,16,0)</f>
        <v>54011.040000000001</v>
      </c>
      <c r="L28" s="3">
        <f>SUM(I28:K28)</f>
        <v>296004.45999999996</v>
      </c>
    </row>
    <row r="29" spans="1:12" x14ac:dyDescent="0.25">
      <c r="A29" s="107" t="s">
        <v>27</v>
      </c>
      <c r="B29" s="108"/>
      <c r="C29" s="108"/>
      <c r="D29" s="108"/>
      <c r="E29" s="108"/>
      <c r="F29" s="108"/>
      <c r="G29" s="108"/>
      <c r="H29" s="109"/>
      <c r="I29" s="6">
        <f>SUM((I9:I16),(I18:I19),(I21:I22),(I25:I26),(I28))</f>
        <v>2698058.06</v>
      </c>
      <c r="J29" s="6">
        <f t="shared" ref="J29:K29" si="1">SUM((J9:J16),(J18:J19),(J21:J22),(J25:J26),(J28))</f>
        <v>848107.96</v>
      </c>
      <c r="K29" s="6">
        <f t="shared" si="1"/>
        <v>4122742.05</v>
      </c>
      <c r="L29" s="6">
        <f>SUM((L9:L13),(L18:L19),(L21:L22),(L25:L26),(L28))</f>
        <v>7665695.6699999999</v>
      </c>
    </row>
    <row r="30" spans="1:12" x14ac:dyDescent="0.25">
      <c r="A30" s="95" t="s">
        <v>10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7"/>
    </row>
    <row r="31" spans="1:12" x14ac:dyDescent="0.2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00"/>
    </row>
    <row r="32" spans="1:12" x14ac:dyDescent="0.25">
      <c r="A32" s="110" t="str">
        <f>Geral!A28</f>
        <v>Proventos de Inativos - Plano Financeiro</v>
      </c>
      <c r="B32" s="110"/>
      <c r="C32" s="110"/>
      <c r="D32" s="110"/>
      <c r="E32" s="110"/>
      <c r="F32" s="110"/>
      <c r="G32" s="110"/>
      <c r="H32" s="110"/>
      <c r="I32" s="8">
        <f>VLOOKUP(I7,Dados!A2:AJ13,17,0)</f>
        <v>1834421.28</v>
      </c>
      <c r="J32" s="8">
        <f>VLOOKUP(J7,Dados!A2:AJ13,17,0)</f>
        <v>2001320.26</v>
      </c>
      <c r="K32" s="8">
        <f>VLOOKUP(K7,Dados!A2:AJ13,17,0)</f>
        <v>1941727.55</v>
      </c>
      <c r="L32" s="8">
        <f>SUM(I32:K32)</f>
        <v>5777469.0899999999</v>
      </c>
    </row>
    <row r="33" spans="1:12" x14ac:dyDescent="0.25">
      <c r="A33" s="48" t="str">
        <f>Geral!A29</f>
        <v>Proventos de Inativos - Plano Previdenciário</v>
      </c>
      <c r="B33" s="48"/>
      <c r="C33" s="48"/>
      <c r="D33" s="48"/>
      <c r="E33" s="48"/>
      <c r="F33" s="48"/>
      <c r="G33" s="48"/>
      <c r="H33" s="48"/>
      <c r="I33" s="3">
        <f>VLOOKUP(I7,Dados!A2:AJ13,18,0)</f>
        <v>19534.37</v>
      </c>
      <c r="J33" s="3">
        <f>VLOOKUP(J7,Dados!A2:AJ13,18,0)</f>
        <v>19588.37</v>
      </c>
      <c r="K33" s="3">
        <f>VLOOKUP(K7,Dados!A2:AJ13,18,0)</f>
        <v>20464.82</v>
      </c>
      <c r="L33" s="8">
        <f t="shared" ref="L33:L43" si="2">SUM(I33:K33)</f>
        <v>59587.56</v>
      </c>
    </row>
    <row r="34" spans="1:12" x14ac:dyDescent="0.25">
      <c r="A34" s="48" t="str">
        <f>Geral!A30</f>
        <v>Proventos de Pensão - Plano Financeiro</v>
      </c>
      <c r="B34" s="48"/>
      <c r="C34" s="48"/>
      <c r="D34" s="48"/>
      <c r="E34" s="48"/>
      <c r="F34" s="48"/>
      <c r="G34" s="48"/>
      <c r="H34" s="48"/>
      <c r="I34" s="3">
        <f>VLOOKUP(I7,Dados!A2:AJ13,19,0)</f>
        <v>301008.89</v>
      </c>
      <c r="J34" s="3">
        <f>VLOOKUP(J7,Dados!A2:AJ13,19,0)</f>
        <v>309399.89</v>
      </c>
      <c r="K34" s="3">
        <f>VLOOKUP(K7,Dados!A2:AJ13,19,0)</f>
        <v>306220.21999999997</v>
      </c>
      <c r="L34" s="8">
        <f t="shared" si="2"/>
        <v>916629</v>
      </c>
    </row>
    <row r="35" spans="1:12" x14ac:dyDescent="0.25">
      <c r="A35" s="51" t="str">
        <f>Geral!A31</f>
        <v>Proventos de Pensão - Plano Previdenciário</v>
      </c>
      <c r="B35" s="51"/>
      <c r="C35" s="51"/>
      <c r="D35" s="51"/>
      <c r="E35" s="51"/>
      <c r="F35" s="51"/>
      <c r="G35" s="51"/>
      <c r="H35" s="51"/>
      <c r="I35" s="3">
        <f>VLOOKUP(I7,Dados!A2:AJ13,20,0)</f>
        <v>7382.77</v>
      </c>
      <c r="J35" s="3">
        <f>VLOOKUP(J7,Dados!A2:AJ13,20,0)</f>
        <v>7388.77</v>
      </c>
      <c r="K35" s="3">
        <f>VLOOKUP(K7,Dados!A2:AJ13,20,0)</f>
        <v>7388.77</v>
      </c>
      <c r="L35" s="8">
        <f t="shared" si="2"/>
        <v>22160.31</v>
      </c>
    </row>
    <row r="36" spans="1:12" x14ac:dyDescent="0.25">
      <c r="A36" s="51" t="str">
        <f>Geral!A32</f>
        <v>Salário Família dos Servidores Ativos - Plano Financeiro</v>
      </c>
      <c r="B36" s="51"/>
      <c r="C36" s="51"/>
      <c r="D36" s="51"/>
      <c r="E36" s="51"/>
      <c r="F36" s="51"/>
      <c r="G36" s="51"/>
      <c r="H36" s="51"/>
      <c r="I36" s="3">
        <f>VLOOKUP(I7,Dados!A2:AJ13,21,0)</f>
        <v>0</v>
      </c>
      <c r="J36" s="3">
        <f>VLOOKUP(J7,Dados!A2:AJ13,21,0)</f>
        <v>0</v>
      </c>
      <c r="K36" s="3">
        <f>VLOOKUP(K7,Dados!A2:AJ13,21,0)</f>
        <v>0</v>
      </c>
      <c r="L36" s="8">
        <f t="shared" si="2"/>
        <v>0</v>
      </c>
    </row>
    <row r="37" spans="1:12" x14ac:dyDescent="0.25">
      <c r="A37" s="51" t="str">
        <f>Geral!A33</f>
        <v>Salário Família dos Servidores Ativos - Plano Previdenciário</v>
      </c>
      <c r="B37" s="51"/>
      <c r="C37" s="51"/>
      <c r="D37" s="51"/>
      <c r="E37" s="51"/>
      <c r="F37" s="51"/>
      <c r="G37" s="51"/>
      <c r="H37" s="51"/>
      <c r="I37" s="3">
        <f>VLOOKUP(I7,Dados!A2:AJ13,22,0)</f>
        <v>3014.44</v>
      </c>
      <c r="J37" s="3">
        <f>VLOOKUP(J7,Dados!A2:AJ13,22,0)</f>
        <v>0</v>
      </c>
      <c r="K37" s="3">
        <f>VLOOKUP(K7,Dados!A2:AJ13,22,0)</f>
        <v>4618.91</v>
      </c>
      <c r="L37" s="8">
        <f t="shared" si="2"/>
        <v>7633.35</v>
      </c>
    </row>
    <row r="38" spans="1:12" x14ac:dyDescent="0.25">
      <c r="A38" s="51" t="str">
        <f>Geral!A34</f>
        <v>Salário Maternidade das Servidoras Ativas - Plano Financiero</v>
      </c>
      <c r="B38" s="51"/>
      <c r="C38" s="51"/>
      <c r="D38" s="51"/>
      <c r="E38" s="51"/>
      <c r="F38" s="51"/>
      <c r="G38" s="51"/>
      <c r="H38" s="51"/>
      <c r="I38" s="3">
        <f>VLOOKUP(I7,Dados!A2:AJ13,23,0)</f>
        <v>0</v>
      </c>
      <c r="J38" s="3">
        <f>VLOOKUP(J7,Dados!A2:AJ13,23,0)</f>
        <v>0</v>
      </c>
      <c r="K38" s="3">
        <f>VLOOKUP(K7,Dados!A2:AJ13,23,0)</f>
        <v>0</v>
      </c>
      <c r="L38" s="8">
        <f t="shared" si="2"/>
        <v>0</v>
      </c>
    </row>
    <row r="39" spans="1:12" x14ac:dyDescent="0.25">
      <c r="A39" s="51" t="str">
        <f>Geral!A35</f>
        <v>Salário Maternidade das Servidoras Ativas - Plano Previdenciário</v>
      </c>
      <c r="B39" s="51"/>
      <c r="C39" s="51"/>
      <c r="D39" s="51"/>
      <c r="E39" s="51"/>
      <c r="F39" s="51"/>
      <c r="G39" s="51"/>
      <c r="H39" s="51"/>
      <c r="I39" s="3">
        <f>VLOOKUP(I7,Dados!A2:AJ13,24,0)</f>
        <v>65782.740000000005</v>
      </c>
      <c r="J39" s="3">
        <f>VLOOKUP(J7,Dados!A2:AJ13,24,0)</f>
        <v>0</v>
      </c>
      <c r="K39" s="3">
        <f>VLOOKUP(K7,Dados!A2:AJ13,24,0)</f>
        <v>128054.99</v>
      </c>
      <c r="L39" s="8">
        <f t="shared" si="2"/>
        <v>193837.73</v>
      </c>
    </row>
    <row r="40" spans="1:12" x14ac:dyDescent="0.25">
      <c r="A40" s="51" t="str">
        <f>Geral!A36</f>
        <v>Auxílio Doença dos Servidores Ativos - Plano Financeiro</v>
      </c>
      <c r="B40" s="51"/>
      <c r="C40" s="51"/>
      <c r="D40" s="51"/>
      <c r="E40" s="51"/>
      <c r="F40" s="51"/>
      <c r="G40" s="51"/>
      <c r="H40" s="51"/>
      <c r="I40" s="3">
        <f>VLOOKUP(I7,Dados!A2:AJ13,25,0)</f>
        <v>68705.19</v>
      </c>
      <c r="J40" s="3">
        <f>VLOOKUP(J7,Dados!A2:AJ13,25,0)</f>
        <v>0</v>
      </c>
      <c r="K40" s="3">
        <f>VLOOKUP(K7,Dados!A2:AJ13,25,0)</f>
        <v>144554.20000000001</v>
      </c>
      <c r="L40" s="8">
        <f t="shared" si="2"/>
        <v>213259.39</v>
      </c>
    </row>
    <row r="41" spans="1:12" x14ac:dyDescent="0.25">
      <c r="A41" s="51" t="str">
        <f>Geral!A37</f>
        <v>Auxílio Doença dos Servidores Ativos - Plano Previdenciário</v>
      </c>
      <c r="B41" s="51"/>
      <c r="C41" s="51"/>
      <c r="D41" s="51"/>
      <c r="E41" s="51"/>
      <c r="F41" s="51"/>
      <c r="G41" s="51"/>
      <c r="H41" s="51"/>
      <c r="I41" s="3">
        <f>VLOOKUP(I7,Dados!A2:AJ13,26,0)</f>
        <v>29571.53</v>
      </c>
      <c r="J41" s="3">
        <f>VLOOKUP(J7,Dados!A2:AJ13,26,0)</f>
        <v>0</v>
      </c>
      <c r="K41" s="3">
        <f>VLOOKUP(K7,Dados!A2:AJ13,26,0)</f>
        <v>124550.03</v>
      </c>
      <c r="L41" s="8">
        <f t="shared" si="2"/>
        <v>154121.56</v>
      </c>
    </row>
    <row r="42" spans="1:12" x14ac:dyDescent="0.25">
      <c r="A42" s="51" t="str">
        <f>Geral!A38</f>
        <v>Compensação Previdenciária</v>
      </c>
      <c r="B42" s="51"/>
      <c r="C42" s="51"/>
      <c r="D42" s="51"/>
      <c r="E42" s="51"/>
      <c r="F42" s="51"/>
      <c r="G42" s="51"/>
      <c r="H42" s="51"/>
      <c r="I42" s="3">
        <f>VLOOKUP(I7,Dados!A2:AJ13,27,0)</f>
        <v>9634.5300000000007</v>
      </c>
      <c r="J42" s="3">
        <f>VLOOKUP(J7,Dados!A2:AJ13,27,0)</f>
        <v>4540.28</v>
      </c>
      <c r="K42" s="3">
        <f>VLOOKUP(K7,Dados!A2:AJ13,27,0)</f>
        <v>35111.230000000003</v>
      </c>
      <c r="L42" s="8">
        <f t="shared" si="2"/>
        <v>49286.040000000008</v>
      </c>
    </row>
    <row r="43" spans="1:12" x14ac:dyDescent="0.25">
      <c r="A43" s="53" t="str">
        <f>Geral!A39</f>
        <v>Restituição Precatório  0002016-62.2017.8.16.7000</v>
      </c>
      <c r="B43" s="54"/>
      <c r="C43" s="54"/>
      <c r="D43" s="54"/>
      <c r="E43" s="54"/>
      <c r="F43" s="54"/>
      <c r="G43" s="54"/>
      <c r="H43" s="55"/>
      <c r="I43" s="10">
        <f>VLOOKUP(I7,Dados!A2:AJ13,28,0)</f>
        <v>0</v>
      </c>
      <c r="J43" s="10">
        <f>VLOOKUP(J7,Dados!A2:AJ13,28,0)</f>
        <v>0</v>
      </c>
      <c r="K43" s="10">
        <f>VLOOKUP(K7,Dados!A2:AJ13,28,0)</f>
        <v>0</v>
      </c>
      <c r="L43" s="8">
        <f t="shared" si="2"/>
        <v>0</v>
      </c>
    </row>
    <row r="44" spans="1:12" x14ac:dyDescent="0.25">
      <c r="A44" s="92" t="s">
        <v>27</v>
      </c>
      <c r="B44" s="93"/>
      <c r="C44" s="93"/>
      <c r="D44" s="93"/>
      <c r="E44" s="93"/>
      <c r="F44" s="93"/>
      <c r="G44" s="93"/>
      <c r="H44" s="94"/>
      <c r="I44" s="6">
        <f>SUM(I32:I42)</f>
        <v>2339055.7399999998</v>
      </c>
      <c r="J44" s="6">
        <f>SUM(J32:J42)</f>
        <v>2342237.5699999998</v>
      </c>
      <c r="K44" s="6">
        <f>SUM(K32:K42)</f>
        <v>2712690.72</v>
      </c>
      <c r="L44" s="6">
        <f>SUM(L32:L43)</f>
        <v>7393984.0299999984</v>
      </c>
    </row>
    <row r="45" spans="1:12" x14ac:dyDescent="0.25">
      <c r="A45" s="95" t="s">
        <v>21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</row>
    <row r="46" spans="1:12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2" x14ac:dyDescent="0.25">
      <c r="A47" s="83" t="s">
        <v>35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1:12" x14ac:dyDescent="0.25">
      <c r="A48" s="80" t="str">
        <f>Geral!A44</f>
        <v>187-9</v>
      </c>
      <c r="B48" s="80"/>
      <c r="C48" s="80"/>
      <c r="D48" s="80"/>
      <c r="E48" s="80"/>
      <c r="F48" s="80"/>
      <c r="G48" s="80"/>
      <c r="H48" s="80"/>
      <c r="I48" s="7">
        <f>VLOOKUP(I7,Dados!A2:AJ13,29,0)</f>
        <v>7138720.8099999996</v>
      </c>
      <c r="J48" s="7">
        <f>VLOOKUP(J7,Dados!A2:AJ13,29,0)</f>
        <v>5205450.3600000003</v>
      </c>
      <c r="K48" s="7">
        <f>VLOOKUP(K7,Dados!A2:AJ13,29,0)</f>
        <v>4371996.76</v>
      </c>
      <c r="L48" s="7">
        <f>K48</f>
        <v>4371996.76</v>
      </c>
    </row>
    <row r="49" spans="1:12" x14ac:dyDescent="0.25">
      <c r="A49" s="81" t="str">
        <f>Geral!A45</f>
        <v>327-8</v>
      </c>
      <c r="B49" s="81"/>
      <c r="C49" s="81"/>
      <c r="D49" s="81"/>
      <c r="E49" s="81"/>
      <c r="F49" s="81"/>
      <c r="G49" s="81"/>
      <c r="H49" s="81"/>
      <c r="I49" s="3">
        <f>VLOOKUP(I7,Dados!A2:AJ13,30,0)</f>
        <v>1849992.7</v>
      </c>
      <c r="J49" s="3">
        <f>VLOOKUP(J7,Dados!A2:AJ13,30,0)</f>
        <v>1791394.97</v>
      </c>
      <c r="K49" s="3">
        <f>VLOOKUP(K7,Dados!A2:AJ13,30,0)</f>
        <v>1606277.93</v>
      </c>
      <c r="L49" s="3">
        <f>K49</f>
        <v>1606277.93</v>
      </c>
    </row>
    <row r="50" spans="1:12" x14ac:dyDescent="0.25">
      <c r="A50" s="87" t="str">
        <f>Geral!A46</f>
        <v>Disponibilidade Financeira</v>
      </c>
      <c r="B50" s="87"/>
      <c r="C50" s="87"/>
      <c r="D50" s="87"/>
      <c r="E50" s="87"/>
      <c r="F50" s="87"/>
      <c r="G50" s="87"/>
      <c r="H50" s="88"/>
      <c r="I50" s="10">
        <f>VLOOKUP(I7,Dados!A2:AJ13,31,0)</f>
        <v>54134.71</v>
      </c>
      <c r="J50" s="10">
        <f>VLOOKUP(J7,Dados!A2:AJ13,31,0)</f>
        <v>13119.22</v>
      </c>
      <c r="K50" s="10">
        <f>VLOOKUP(K7,Dados!A2:AJ13,31,0)</f>
        <v>21398.5</v>
      </c>
      <c r="L50" s="10">
        <f>K50</f>
        <v>21398.5</v>
      </c>
    </row>
    <row r="51" spans="1:12" x14ac:dyDescent="0.25">
      <c r="A51" s="77" t="s">
        <v>27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1">
        <f>SUM(L48:L50)</f>
        <v>5999673.1899999995</v>
      </c>
    </row>
    <row r="52" spans="1:12" x14ac:dyDescent="0.25">
      <c r="A52" s="83" t="s">
        <v>22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5"/>
    </row>
    <row r="53" spans="1:12" x14ac:dyDescent="0.25">
      <c r="A53" s="80" t="str">
        <f>Geral!A49</f>
        <v>330-8</v>
      </c>
      <c r="B53" s="80"/>
      <c r="C53" s="80"/>
      <c r="D53" s="80"/>
      <c r="E53" s="80"/>
      <c r="F53" s="80"/>
      <c r="G53" s="80"/>
      <c r="H53" s="80"/>
      <c r="I53" s="7">
        <f>VLOOKUP(I7,Dados!A2:AJ13,32,0)</f>
        <v>66903589.479999997</v>
      </c>
      <c r="J53" s="7">
        <f>VLOOKUP(J7,Dados!A2:AJ13,32,0)</f>
        <v>67285263.769999996</v>
      </c>
      <c r="K53" s="7">
        <f>VLOOKUP(K7,Dados!A2:AJ13,32,0)</f>
        <v>68080012.170000002</v>
      </c>
      <c r="L53" s="7">
        <f>K53</f>
        <v>68080012.170000002</v>
      </c>
    </row>
    <row r="54" spans="1:12" x14ac:dyDescent="0.25">
      <c r="A54" s="81" t="str">
        <f>Geral!A50</f>
        <v>48828-3</v>
      </c>
      <c r="B54" s="81"/>
      <c r="C54" s="81"/>
      <c r="D54" s="81"/>
      <c r="E54" s="81"/>
      <c r="F54" s="81"/>
      <c r="G54" s="81"/>
      <c r="H54" s="81"/>
      <c r="I54" s="3">
        <f>VLOOKUP(I7,Dados!A2:AJ13,33,0)</f>
        <v>23681252.77</v>
      </c>
      <c r="J54" s="3">
        <f>VLOOKUP(J7,Dados!A2:AJ13,33,0)</f>
        <v>23797029.32</v>
      </c>
      <c r="K54" s="3">
        <f>VLOOKUP(K7,Dados!A2:AJ13,33,0)</f>
        <v>24698753.469999999</v>
      </c>
      <c r="L54" s="3">
        <f>K54</f>
        <v>24698753.469999999</v>
      </c>
    </row>
    <row r="55" spans="1:12" x14ac:dyDescent="0.25">
      <c r="A55" s="86">
        <f>Geral!A51</f>
        <v>4452</v>
      </c>
      <c r="B55" s="87"/>
      <c r="C55" s="87"/>
      <c r="D55" s="87"/>
      <c r="E55" s="87"/>
      <c r="F55" s="87"/>
      <c r="G55" s="87"/>
      <c r="H55" s="88"/>
      <c r="I55" s="10">
        <f>VLOOKUP(I7,Dados!A2:AJ13,34,0)</f>
        <v>0</v>
      </c>
      <c r="J55" s="10">
        <f>VLOOKUP(J7,Dados!A2:AJ13,34,0)</f>
        <v>0</v>
      </c>
      <c r="K55" s="10">
        <f>VLOOKUP(K7,Dados!A2:AJ13,34,0)</f>
        <v>0</v>
      </c>
      <c r="L55" s="3">
        <f t="shared" ref="L55:L57" si="3">K55</f>
        <v>0</v>
      </c>
    </row>
    <row r="56" spans="1:12" x14ac:dyDescent="0.25">
      <c r="A56" s="86">
        <f>Geral!A52</f>
        <v>93141</v>
      </c>
      <c r="B56" s="87"/>
      <c r="C56" s="87"/>
      <c r="D56" s="87"/>
      <c r="E56" s="87"/>
      <c r="F56" s="87"/>
      <c r="G56" s="87"/>
      <c r="H56" s="88"/>
      <c r="I56" s="10">
        <f>VLOOKUP(I7,Dados!A2:AJ13,35,0)</f>
        <v>100558.24</v>
      </c>
      <c r="J56" s="10">
        <f>VLOOKUP(J7,Dados!A2:AJ13,35,0)</f>
        <v>100817.31</v>
      </c>
      <c r="K56" s="10">
        <f>VLOOKUP(K7,Dados!A2:AJ13,35,0)</f>
        <v>169227.14</v>
      </c>
      <c r="L56" s="3">
        <f t="shared" si="3"/>
        <v>169227.14</v>
      </c>
    </row>
    <row r="57" spans="1:12" x14ac:dyDescent="0.25">
      <c r="A57" s="89" t="str">
        <f>Geral!A53</f>
        <v>Disponibilidade Financeira</v>
      </c>
      <c r="B57" s="90"/>
      <c r="C57" s="90"/>
      <c r="D57" s="90"/>
      <c r="E57" s="90"/>
      <c r="F57" s="90"/>
      <c r="G57" s="90"/>
      <c r="H57" s="91"/>
      <c r="I57" s="10">
        <f>VLOOKUP(I7,Dados!A2:AJ13,36,0)</f>
        <v>0</v>
      </c>
      <c r="J57" s="10">
        <f>VLOOKUP(J7,Dados!A2:AJ13,36,0)</f>
        <v>28.66</v>
      </c>
      <c r="K57" s="10">
        <f>VLOOKUP(K7,Dados!A2:AJ13,36,0)</f>
        <v>0</v>
      </c>
      <c r="L57" s="3">
        <f t="shared" si="3"/>
        <v>0</v>
      </c>
    </row>
    <row r="58" spans="1:12" x14ac:dyDescent="0.25">
      <c r="A58" s="77" t="s">
        <v>27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4">
        <f>SUM(L53:L57)</f>
        <v>92947992.780000001</v>
      </c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9"/>
      <c r="J59" s="9"/>
      <c r="K59" s="9"/>
      <c r="L59" s="9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9"/>
      <c r="J60" s="9"/>
      <c r="K60" s="9"/>
      <c r="L60" s="9"/>
    </row>
    <row r="61" spans="1:12" ht="32.25" customHeight="1" x14ac:dyDescent="0.25">
      <c r="A61" s="78" t="s">
        <v>28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25">
      <c r="A63" s="79">
        <f ca="1">TODAY()</f>
        <v>43970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 x14ac:dyDescent="0.25">
      <c r="A64" s="82" t="s">
        <v>47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</row>
    <row r="66" spans="1:12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2" x14ac:dyDescent="0.25">
      <c r="A67" s="76" t="s">
        <v>51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x14ac:dyDescent="0.25">
      <c r="A71" s="18" t="s">
        <v>63</v>
      </c>
      <c r="B71" s="18"/>
      <c r="C71" s="18"/>
      <c r="D71" s="18"/>
      <c r="E71" s="18"/>
      <c r="F71" s="18"/>
      <c r="G71" s="18"/>
      <c r="H71" s="18"/>
      <c r="I71" s="19">
        <f>I9+I11+I13+I18+I21+I25+I26+I28+I15</f>
        <v>878788.10999999987</v>
      </c>
      <c r="J71" s="19">
        <f t="shared" ref="J71:K71" si="4">J9+J11+J13+J18+J21+J25+J26+J28+J15</f>
        <v>323392.25</v>
      </c>
      <c r="K71" s="19">
        <f t="shared" si="4"/>
        <v>1419584.6900000002</v>
      </c>
      <c r="L71" s="18"/>
    </row>
    <row r="72" spans="1:12" x14ac:dyDescent="0.25">
      <c r="A72" s="18" t="s">
        <v>64</v>
      </c>
      <c r="B72" s="18"/>
      <c r="C72" s="18"/>
      <c r="D72" s="18"/>
      <c r="E72" s="18"/>
      <c r="F72" s="18"/>
      <c r="G72" s="18"/>
      <c r="H72" s="18"/>
      <c r="I72" s="19">
        <f>I32+I34+I36+I38+I40+I42+I43</f>
        <v>2213769.8899999997</v>
      </c>
      <c r="J72" s="19">
        <f t="shared" ref="J72:K72" si="5">J32+J34+J36+J38+J40+J42+J43</f>
        <v>2315260.4299999997</v>
      </c>
      <c r="K72" s="19">
        <f t="shared" si="5"/>
        <v>2427613.2000000002</v>
      </c>
      <c r="L72" s="18"/>
    </row>
    <row r="73" spans="1:12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x14ac:dyDescent="0.25">
      <c r="A74" s="18" t="s">
        <v>62</v>
      </c>
      <c r="B74" s="18"/>
      <c r="C74" s="18"/>
      <c r="D74" s="18"/>
      <c r="E74" s="18"/>
      <c r="F74" s="18"/>
      <c r="G74" s="18"/>
      <c r="H74" s="18"/>
      <c r="I74" s="19">
        <f>I10+I12+I19+I22+I14+I16</f>
        <v>1819269.9500000002</v>
      </c>
      <c r="J74" s="19">
        <f t="shared" ref="J74:K74" si="6">J10+J12+J19+J22+J14+J16</f>
        <v>524715.71</v>
      </c>
      <c r="K74" s="19">
        <f t="shared" si="6"/>
        <v>2703157.36</v>
      </c>
      <c r="L74" s="18"/>
    </row>
    <row r="75" spans="1:12" x14ac:dyDescent="0.25">
      <c r="A75" s="18" t="s">
        <v>61</v>
      </c>
      <c r="B75" s="18"/>
      <c r="C75" s="18"/>
      <c r="D75" s="18"/>
      <c r="E75" s="18"/>
      <c r="F75" s="18"/>
      <c r="G75" s="18"/>
      <c r="H75" s="18"/>
      <c r="I75" s="19">
        <f>I33+I35+I37+I39+I41</f>
        <v>125285.85</v>
      </c>
      <c r="J75" s="19">
        <f t="shared" ref="J75:K75" si="7">J33+J35+J37+J39+J41</f>
        <v>26977.14</v>
      </c>
      <c r="K75" s="19">
        <f t="shared" si="7"/>
        <v>285077.52</v>
      </c>
      <c r="L75" s="18"/>
    </row>
    <row r="76" spans="1:12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x14ac:dyDescent="0.25">
      <c r="A77" s="18" t="s">
        <v>65</v>
      </c>
      <c r="B77" s="18"/>
      <c r="C77" s="18"/>
      <c r="D77" s="18"/>
      <c r="E77" s="18"/>
      <c r="F77" s="18"/>
      <c r="G77" s="18"/>
      <c r="H77" s="18"/>
      <c r="I77" s="19">
        <f>I48+I49+I50</f>
        <v>9042848.2200000007</v>
      </c>
      <c r="J77" s="19">
        <f t="shared" ref="J77:K77" si="8">J48+J49+J50</f>
        <v>7009964.5499999998</v>
      </c>
      <c r="K77" s="19">
        <f t="shared" si="8"/>
        <v>5999673.1899999995</v>
      </c>
      <c r="L77" s="18"/>
    </row>
    <row r="78" spans="1:12" x14ac:dyDescent="0.25">
      <c r="A78" s="18" t="s">
        <v>66</v>
      </c>
      <c r="B78" s="18"/>
      <c r="C78" s="18"/>
      <c r="D78" s="18"/>
      <c r="E78" s="18"/>
      <c r="F78" s="18"/>
      <c r="G78" s="18"/>
      <c r="H78" s="18"/>
      <c r="I78" s="19">
        <f>I53+I54+I55+I56+I57</f>
        <v>90685400.489999995</v>
      </c>
      <c r="J78" s="19">
        <f t="shared" ref="J78:K78" si="9">J53+J54+J55+J56+J57</f>
        <v>91183139.060000002</v>
      </c>
      <c r="K78" s="19">
        <f t="shared" si="9"/>
        <v>92947992.780000001</v>
      </c>
      <c r="L78" s="18"/>
    </row>
    <row r="79" spans="1:12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</sheetData>
  <mergeCells count="60">
    <mergeCell ref="A9:H9"/>
    <mergeCell ref="A10:H10"/>
    <mergeCell ref="A11:H11"/>
    <mergeCell ref="A13:H13"/>
    <mergeCell ref="A18:H18"/>
    <mergeCell ref="A12:H12"/>
    <mergeCell ref="A14:H14"/>
    <mergeCell ref="A15:H15"/>
    <mergeCell ref="A16:H16"/>
    <mergeCell ref="A1:L2"/>
    <mergeCell ref="A3:L4"/>
    <mergeCell ref="A5:L6"/>
    <mergeCell ref="A7:H8"/>
    <mergeCell ref="I7:I8"/>
    <mergeCell ref="J7:J8"/>
    <mergeCell ref="K7:K8"/>
    <mergeCell ref="L7:L8"/>
    <mergeCell ref="A35:H35"/>
    <mergeCell ref="A21:H21"/>
    <mergeCell ref="A22:H22"/>
    <mergeCell ref="A23:L24"/>
    <mergeCell ref="A25:H25"/>
    <mergeCell ref="A26:H26"/>
    <mergeCell ref="A28:H28"/>
    <mergeCell ref="A29:H29"/>
    <mergeCell ref="A30:L31"/>
    <mergeCell ref="A32:H32"/>
    <mergeCell ref="A33:H33"/>
    <mergeCell ref="A34:H34"/>
    <mergeCell ref="A36:H36"/>
    <mergeCell ref="A37:H37"/>
    <mergeCell ref="A38:H38"/>
    <mergeCell ref="A39:H39"/>
    <mergeCell ref="A40:H40"/>
    <mergeCell ref="A55:H55"/>
    <mergeCell ref="A56:H56"/>
    <mergeCell ref="A57:H57"/>
    <mergeCell ref="A50:H50"/>
    <mergeCell ref="A41:H41"/>
    <mergeCell ref="A42:H42"/>
    <mergeCell ref="A44:H44"/>
    <mergeCell ref="A45:L46"/>
    <mergeCell ref="A47:L47"/>
    <mergeCell ref="A43:H43"/>
    <mergeCell ref="A20:L20"/>
    <mergeCell ref="A17:L17"/>
    <mergeCell ref="A27:L27"/>
    <mergeCell ref="A19:H19"/>
    <mergeCell ref="A67:L67"/>
    <mergeCell ref="A58:K58"/>
    <mergeCell ref="A61:L61"/>
    <mergeCell ref="A63:L63"/>
    <mergeCell ref="A48:H48"/>
    <mergeCell ref="A53:H53"/>
    <mergeCell ref="A54:H54"/>
    <mergeCell ref="A64:L64"/>
    <mergeCell ref="A66:L66"/>
    <mergeCell ref="A51:K51"/>
    <mergeCell ref="A52:L52"/>
    <mergeCell ref="A49:H49"/>
  </mergeCells>
  <dataValidations count="1">
    <dataValidation type="list" allowBlank="1" showInputMessage="1" showErrorMessage="1" sqref="I7:K8">
      <formula1>"Janeiro,Fevereiro,Março,Abril,Maio,Junho,Julho,Agosto,Setembro,Outubro,Novembro,Dezembro"</formula1>
    </dataValidation>
  </dataValidation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64" sqref="B64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P54" sqref="P54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workbookViewId="0">
      <selection activeCell="E2" sqref="E2"/>
    </sheetView>
  </sheetViews>
  <sheetFormatPr defaultRowHeight="12.75" x14ac:dyDescent="0.2"/>
  <cols>
    <col min="1" max="1" width="9.140625" style="1"/>
    <col min="2" max="3" width="10.140625" style="1" bestFit="1" customWidth="1"/>
    <col min="4" max="5" width="9.42578125" style="1" bestFit="1" customWidth="1"/>
    <col min="6" max="9" width="25.28515625" style="1" customWidth="1"/>
    <col min="10" max="10" width="31.140625" style="1" customWidth="1"/>
    <col min="11" max="11" width="28.5703125" style="1" customWidth="1"/>
    <col min="12" max="12" width="25" style="1" customWidth="1"/>
    <col min="13" max="13" width="11.7109375" style="1" bestFit="1" customWidth="1"/>
    <col min="14" max="14" width="10.140625" style="1" bestFit="1" customWidth="1"/>
    <col min="15" max="15" width="9.42578125" style="1" bestFit="1" customWidth="1"/>
    <col min="16" max="16" width="10.140625" style="1" bestFit="1" customWidth="1"/>
    <col min="17" max="17" width="11.7109375" style="1" bestFit="1" customWidth="1"/>
    <col min="18" max="18" width="9.42578125" style="1" bestFit="1" customWidth="1"/>
    <col min="19" max="19" width="10.140625" style="1" bestFit="1" customWidth="1"/>
    <col min="20" max="23" width="9.42578125" style="1" bestFit="1" customWidth="1"/>
    <col min="24" max="26" width="10.140625" style="1" bestFit="1" customWidth="1"/>
    <col min="27" max="27" width="9.42578125" style="1" bestFit="1" customWidth="1"/>
    <col min="28" max="28" width="10.28515625" style="1" customWidth="1"/>
    <col min="29" max="29" width="12.7109375" style="1" bestFit="1" customWidth="1"/>
    <col min="30" max="30" width="11.7109375" style="1" bestFit="1" customWidth="1"/>
    <col min="31" max="31" width="10.140625" style="1" bestFit="1" customWidth="1"/>
    <col min="32" max="33" width="12.7109375" style="1" bestFit="1" customWidth="1"/>
    <col min="34" max="35" width="12.7109375" style="1" customWidth="1"/>
    <col min="36" max="36" width="9.42578125" style="1" bestFit="1" customWidth="1"/>
    <col min="37" max="16384" width="9.140625" style="1"/>
  </cols>
  <sheetData>
    <row r="1" spans="1:36" x14ac:dyDescent="0.2">
      <c r="A1" s="1" t="s">
        <v>56</v>
      </c>
      <c r="B1" s="1" t="s">
        <v>52</v>
      </c>
      <c r="C1" s="1" t="s">
        <v>50</v>
      </c>
      <c r="D1" s="1" t="s">
        <v>44</v>
      </c>
      <c r="E1" s="1" t="s">
        <v>45</v>
      </c>
      <c r="F1" s="1" t="s">
        <v>46</v>
      </c>
      <c r="G1" s="1" t="s">
        <v>76</v>
      </c>
      <c r="H1" s="1" t="s">
        <v>78</v>
      </c>
      <c r="I1" s="1" t="s">
        <v>77</v>
      </c>
      <c r="J1" s="1" t="s">
        <v>53</v>
      </c>
      <c r="K1" s="1" t="s">
        <v>40</v>
      </c>
      <c r="L1" s="1" t="s">
        <v>33</v>
      </c>
      <c r="M1" s="1" t="s">
        <v>34</v>
      </c>
      <c r="N1" s="1" t="s">
        <v>54</v>
      </c>
      <c r="O1" s="1" t="s">
        <v>55</v>
      </c>
      <c r="P1" s="1" t="s">
        <v>39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8</v>
      </c>
      <c r="AB1" s="1" t="s">
        <v>69</v>
      </c>
      <c r="AC1" s="1" t="s">
        <v>23</v>
      </c>
      <c r="AD1" s="1" t="s">
        <v>25</v>
      </c>
      <c r="AE1" s="1" t="s">
        <v>32</v>
      </c>
      <c r="AF1" s="1" t="s">
        <v>24</v>
      </c>
      <c r="AG1" s="1" t="s">
        <v>26</v>
      </c>
      <c r="AH1" s="1">
        <v>4452</v>
      </c>
      <c r="AI1" s="1">
        <v>93141</v>
      </c>
      <c r="AJ1" s="1" t="s">
        <v>32</v>
      </c>
    </row>
    <row r="2" spans="1:36" x14ac:dyDescent="0.2">
      <c r="A2" s="1" t="s">
        <v>41</v>
      </c>
      <c r="B2" s="17">
        <f>Geral!E5</f>
        <v>222022.97</v>
      </c>
      <c r="C2" s="17">
        <f>Geral!E6</f>
        <v>459808.01</v>
      </c>
      <c r="D2" s="17">
        <f>Geral!E7</f>
        <v>3661.76</v>
      </c>
      <c r="E2" s="17">
        <f>Geral!E8</f>
        <v>28.66</v>
      </c>
      <c r="F2" s="17">
        <f>Geral!E9</f>
        <v>280.44</v>
      </c>
      <c r="G2" s="17">
        <f>Geral!E10</f>
        <v>0</v>
      </c>
      <c r="H2" s="17">
        <f>Geral!E11</f>
        <v>0</v>
      </c>
      <c r="I2" s="17">
        <f>Geral!E12</f>
        <v>14.57</v>
      </c>
      <c r="J2" s="17">
        <f>Geral!E14</f>
        <v>355423.91</v>
      </c>
      <c r="K2" s="17">
        <f>Geral!E15</f>
        <v>735875.66</v>
      </c>
      <c r="L2" s="17">
        <f>Geral!E17</f>
        <v>79453.960000000006</v>
      </c>
      <c r="M2" s="17">
        <f>Geral!E18</f>
        <v>623543.05000000005</v>
      </c>
      <c r="N2" s="17">
        <f>Geral!E21</f>
        <v>121488.11</v>
      </c>
      <c r="O2" s="17">
        <f>Geral!E22</f>
        <v>0</v>
      </c>
      <c r="P2" s="17">
        <f>Geral!E24</f>
        <v>96456.960000000006</v>
      </c>
      <c r="Q2" s="17">
        <f>Geral!E28</f>
        <v>1834421.28</v>
      </c>
      <c r="R2" s="17">
        <f>Geral!E29</f>
        <v>19534.37</v>
      </c>
      <c r="S2" s="17">
        <f>Geral!E30</f>
        <v>301008.89</v>
      </c>
      <c r="T2" s="17">
        <f>Geral!E31</f>
        <v>7382.77</v>
      </c>
      <c r="U2" s="17">
        <f>Geral!E32</f>
        <v>0</v>
      </c>
      <c r="V2" s="17">
        <f>Geral!E33</f>
        <v>3014.44</v>
      </c>
      <c r="W2" s="17">
        <f>Geral!E34</f>
        <v>0</v>
      </c>
      <c r="X2" s="17">
        <f>Geral!E35</f>
        <v>65782.740000000005</v>
      </c>
      <c r="Y2" s="17">
        <f>Geral!E36</f>
        <v>68705.19</v>
      </c>
      <c r="Z2" s="17">
        <f>Geral!E37</f>
        <v>29571.53</v>
      </c>
      <c r="AA2" s="17">
        <f>Geral!E38</f>
        <v>9634.5300000000007</v>
      </c>
      <c r="AB2" s="1">
        <f>Geral!E39</f>
        <v>0</v>
      </c>
      <c r="AC2" s="17">
        <f>Geral!E44</f>
        <v>7138720.8099999996</v>
      </c>
      <c r="AD2" s="17">
        <f>Geral!E45</f>
        <v>1849992.7</v>
      </c>
      <c r="AE2" s="17">
        <f>Geral!E46</f>
        <v>54134.71</v>
      </c>
      <c r="AF2" s="17">
        <f>Geral!E49</f>
        <v>66903589.479999997</v>
      </c>
      <c r="AG2" s="17">
        <f>Geral!E50</f>
        <v>23681252.77</v>
      </c>
      <c r="AH2" s="17">
        <f>Geral!E51</f>
        <v>0</v>
      </c>
      <c r="AI2" s="17">
        <f>Geral!E52</f>
        <v>100558.24</v>
      </c>
      <c r="AJ2" s="17">
        <f>Geral!E53</f>
        <v>0</v>
      </c>
    </row>
    <row r="3" spans="1:36" x14ac:dyDescent="0.2">
      <c r="A3" s="1" t="s">
        <v>42</v>
      </c>
      <c r="B3" s="17">
        <f>Geral!F5</f>
        <v>0</v>
      </c>
      <c r="C3" s="17">
        <f>Geral!F6</f>
        <v>5314.8</v>
      </c>
      <c r="D3" s="17">
        <f>Geral!F7</f>
        <v>4815.12</v>
      </c>
      <c r="E3" s="17">
        <f>Geral!F8</f>
        <v>28.66</v>
      </c>
      <c r="F3" s="17">
        <f>Geral!F9</f>
        <v>310.81</v>
      </c>
      <c r="G3" s="17">
        <f>Geral!F10</f>
        <v>0</v>
      </c>
      <c r="H3" s="17">
        <f>Geral!F11</f>
        <v>0</v>
      </c>
      <c r="I3" s="17">
        <f>Geral!F12</f>
        <v>0</v>
      </c>
      <c r="J3" s="17">
        <f>Geral!F14</f>
        <v>0</v>
      </c>
      <c r="K3" s="17">
        <f>Geral!F15</f>
        <v>8508.52</v>
      </c>
      <c r="L3" s="17">
        <f>Geral!F17</f>
        <v>50584.65</v>
      </c>
      <c r="M3" s="17">
        <f>Geral!F18</f>
        <v>510863.73</v>
      </c>
      <c r="N3" s="17">
        <f>Geral!F21</f>
        <v>122145.21</v>
      </c>
      <c r="O3" s="17">
        <f>Geral!F22</f>
        <v>0</v>
      </c>
      <c r="P3" s="17">
        <f>Geral!F24</f>
        <v>145536.46</v>
      </c>
      <c r="Q3" s="17">
        <f>Geral!F28</f>
        <v>2001320.26</v>
      </c>
      <c r="R3" s="17">
        <f>Geral!F29</f>
        <v>19588.37</v>
      </c>
      <c r="S3" s="17">
        <f>Geral!F30</f>
        <v>309399.89</v>
      </c>
      <c r="T3" s="17">
        <f>Geral!F31</f>
        <v>7388.77</v>
      </c>
      <c r="U3" s="17">
        <f>Geral!F32</f>
        <v>0</v>
      </c>
      <c r="V3" s="17">
        <f>Geral!F33</f>
        <v>0</v>
      </c>
      <c r="W3" s="17">
        <f>Geral!F34</f>
        <v>0</v>
      </c>
      <c r="X3" s="17">
        <f>Geral!F35</f>
        <v>0</v>
      </c>
      <c r="Y3" s="17">
        <f>Geral!F36</f>
        <v>0</v>
      </c>
      <c r="Z3" s="17">
        <f>Geral!F37</f>
        <v>0</v>
      </c>
      <c r="AA3" s="17">
        <f>Geral!F38</f>
        <v>4540.28</v>
      </c>
      <c r="AB3" s="17">
        <f>Geral!F39</f>
        <v>0</v>
      </c>
      <c r="AC3" s="17">
        <f>Geral!F44</f>
        <v>5205450.3600000003</v>
      </c>
      <c r="AD3" s="17">
        <f>Geral!F45</f>
        <v>1791394.97</v>
      </c>
      <c r="AE3" s="17">
        <f>Geral!F46</f>
        <v>13119.22</v>
      </c>
      <c r="AF3" s="17">
        <f>Geral!F49</f>
        <v>67285263.769999996</v>
      </c>
      <c r="AG3" s="17">
        <f>Geral!F50</f>
        <v>23797029.32</v>
      </c>
      <c r="AH3" s="17">
        <f>Geral!F51</f>
        <v>0</v>
      </c>
      <c r="AI3" s="17">
        <f>Geral!F52</f>
        <v>100817.31</v>
      </c>
      <c r="AJ3" s="17">
        <f>Geral!F53</f>
        <v>28.66</v>
      </c>
    </row>
    <row r="4" spans="1:36" x14ac:dyDescent="0.2">
      <c r="A4" s="1" t="s">
        <v>43</v>
      </c>
      <c r="B4" s="17">
        <f>Geral!G5</f>
        <v>470896.52</v>
      </c>
      <c r="C4" s="17">
        <f>Geral!G6</f>
        <v>993928.63</v>
      </c>
      <c r="D4" s="17">
        <f>Geral!G7</f>
        <v>4815.12</v>
      </c>
      <c r="E4" s="17">
        <f>Geral!G8</f>
        <v>28.66</v>
      </c>
      <c r="F4" s="17">
        <f>Geral!G9</f>
        <v>310.81</v>
      </c>
      <c r="G4" s="17">
        <f>Geral!G10</f>
        <v>0</v>
      </c>
      <c r="H4" s="17">
        <f>Geral!G11</f>
        <v>3197.83</v>
      </c>
      <c r="I4" s="17">
        <f>Geral!G12</f>
        <v>0</v>
      </c>
      <c r="J4" s="17">
        <f>Geral!G14</f>
        <v>753813.91</v>
      </c>
      <c r="K4" s="17">
        <f>Geral!G15</f>
        <v>1591159.15</v>
      </c>
      <c r="L4" s="17">
        <f>Geral!G17</f>
        <v>9969.23</v>
      </c>
      <c r="M4" s="17">
        <f>Geral!G18</f>
        <v>118040.92</v>
      </c>
      <c r="N4" s="17">
        <f>Geral!G21</f>
        <v>122570.23</v>
      </c>
      <c r="O4" s="17">
        <f>Geral!G22</f>
        <v>0</v>
      </c>
      <c r="P4" s="17">
        <f>Geral!G24</f>
        <v>54011.040000000001</v>
      </c>
      <c r="Q4" s="17">
        <f>Geral!G28</f>
        <v>1941727.55</v>
      </c>
      <c r="R4" s="17">
        <f>Geral!G29</f>
        <v>20464.82</v>
      </c>
      <c r="S4" s="17">
        <f>Geral!G30</f>
        <v>306220.21999999997</v>
      </c>
      <c r="T4" s="17">
        <f>Geral!G31</f>
        <v>7388.77</v>
      </c>
      <c r="U4" s="17">
        <f>Geral!G32</f>
        <v>0</v>
      </c>
      <c r="V4" s="17">
        <f>Geral!G33</f>
        <v>4618.91</v>
      </c>
      <c r="W4" s="17">
        <f>Geral!G34</f>
        <v>0</v>
      </c>
      <c r="X4" s="17">
        <f>Geral!G35</f>
        <v>128054.99</v>
      </c>
      <c r="Y4" s="17">
        <f>Geral!G36</f>
        <v>144554.20000000001</v>
      </c>
      <c r="Z4" s="17">
        <f>Geral!G37</f>
        <v>124550.03</v>
      </c>
      <c r="AA4" s="17">
        <f>Geral!G38</f>
        <v>35111.230000000003</v>
      </c>
      <c r="AB4" s="17">
        <f>Geral!G39</f>
        <v>0</v>
      </c>
      <c r="AC4" s="17">
        <f>Geral!G44</f>
        <v>4371996.76</v>
      </c>
      <c r="AD4" s="17">
        <f>Geral!G45</f>
        <v>1606277.93</v>
      </c>
      <c r="AE4" s="17">
        <f>Geral!G46</f>
        <v>21398.5</v>
      </c>
      <c r="AF4" s="17">
        <f>Geral!G49</f>
        <v>68080012.170000002</v>
      </c>
      <c r="AG4" s="17">
        <f>Geral!G50</f>
        <v>24698753.469999999</v>
      </c>
      <c r="AH4" s="17">
        <f>Geral!G51</f>
        <v>0</v>
      </c>
      <c r="AI4" s="17">
        <f>Geral!G52</f>
        <v>169227.14</v>
      </c>
      <c r="AJ4" s="17">
        <f>Geral!G53</f>
        <v>0</v>
      </c>
    </row>
    <row r="5" spans="1:36" x14ac:dyDescent="0.2">
      <c r="A5" s="1" t="s">
        <v>36</v>
      </c>
      <c r="B5" s="17">
        <f>Geral!H5</f>
        <v>229843.75</v>
      </c>
      <c r="C5" s="17">
        <f>Geral!H6</f>
        <v>491358.15</v>
      </c>
      <c r="D5" s="17">
        <f>Geral!H7</f>
        <v>4815.12</v>
      </c>
      <c r="E5" s="17">
        <f>Geral!H8</f>
        <v>28.66</v>
      </c>
      <c r="F5" s="17">
        <f>Geral!H9</f>
        <v>310.81</v>
      </c>
      <c r="G5" s="17">
        <f>Geral!H10</f>
        <v>0</v>
      </c>
      <c r="H5" s="17">
        <f>Geral!H11</f>
        <v>2525</v>
      </c>
      <c r="I5" s="17">
        <f>Geral!H12</f>
        <v>0</v>
      </c>
      <c r="J5" s="17">
        <f>Geral!H14</f>
        <v>367959.01</v>
      </c>
      <c r="K5" s="17">
        <f>Geral!H15</f>
        <v>786616.52</v>
      </c>
      <c r="L5" s="17">
        <f>Geral!H17</f>
        <v>57909.58</v>
      </c>
      <c r="M5" s="17">
        <f>Geral!H18</f>
        <v>876423.49</v>
      </c>
      <c r="N5" s="17">
        <f>Geral!H21</f>
        <v>123428.2</v>
      </c>
      <c r="O5" s="17">
        <f>Geral!H22</f>
        <v>0</v>
      </c>
      <c r="P5" s="17">
        <f>Geral!H24</f>
        <v>102200.29</v>
      </c>
      <c r="Q5" s="17">
        <f>Geral!H28</f>
        <v>1952982.74</v>
      </c>
      <c r="R5" s="17">
        <f>Geral!H29</f>
        <v>20633.37</v>
      </c>
      <c r="S5" s="17">
        <f>Geral!H30</f>
        <v>306422.48</v>
      </c>
      <c r="T5" s="17">
        <f>Geral!H31</f>
        <v>7388.77</v>
      </c>
      <c r="U5" s="17">
        <f>Geral!H32</f>
        <v>0</v>
      </c>
      <c r="V5" s="17">
        <f>Geral!H33</f>
        <v>2139.2800000000002</v>
      </c>
      <c r="W5" s="17">
        <f>Geral!H34</f>
        <v>0</v>
      </c>
      <c r="X5" s="17">
        <f>Geral!H35</f>
        <v>63923.47</v>
      </c>
      <c r="Y5" s="17">
        <f>Geral!H36</f>
        <v>85236.43</v>
      </c>
      <c r="Z5" s="17">
        <f>Geral!H37</f>
        <v>74127.08</v>
      </c>
      <c r="AA5" s="17">
        <f>Geral!H38</f>
        <v>10430.31</v>
      </c>
      <c r="AB5" s="17">
        <f>Geral!H39</f>
        <v>0</v>
      </c>
      <c r="AC5" s="17">
        <f>Geral!H44</f>
        <v>2999010.37</v>
      </c>
      <c r="AD5" s="17">
        <f>Geral!H45</f>
        <v>1515674.12</v>
      </c>
      <c r="AE5" s="17">
        <f>Geral!H46</f>
        <v>0</v>
      </c>
      <c r="AF5" s="17">
        <f>Geral!H49</f>
        <v>69831231.849999994</v>
      </c>
      <c r="AG5" s="17">
        <f>Geral!H50</f>
        <v>24926160.789999999</v>
      </c>
      <c r="AH5" s="17">
        <f>Geral!H51</f>
        <v>0</v>
      </c>
      <c r="AI5" s="17">
        <f>Geral!H52</f>
        <v>176814.99</v>
      </c>
      <c r="AJ5" s="17">
        <f>Geral!H53</f>
        <v>0</v>
      </c>
    </row>
    <row r="6" spans="1:36" x14ac:dyDescent="0.2">
      <c r="A6" s="1" t="s">
        <v>37</v>
      </c>
      <c r="B6" s="17">
        <f>Geral!I5</f>
        <v>0</v>
      </c>
      <c r="C6" s="17">
        <f>Geral!I6</f>
        <v>0</v>
      </c>
      <c r="D6" s="17">
        <f>Geral!I7</f>
        <v>0</v>
      </c>
      <c r="E6" s="17">
        <f>Geral!I8</f>
        <v>0</v>
      </c>
      <c r="F6" s="17">
        <f>Geral!I9</f>
        <v>0</v>
      </c>
      <c r="G6" s="17">
        <f>Geral!I10</f>
        <v>0</v>
      </c>
      <c r="H6" s="17">
        <f>Geral!I11</f>
        <v>0</v>
      </c>
      <c r="I6" s="17">
        <f>Geral!I12</f>
        <v>0</v>
      </c>
      <c r="J6" s="17">
        <f>Geral!I14</f>
        <v>0</v>
      </c>
      <c r="K6" s="17">
        <f>Geral!I15</f>
        <v>0</v>
      </c>
      <c r="L6" s="17">
        <f>Geral!I17</f>
        <v>0</v>
      </c>
      <c r="M6" s="17">
        <f>Geral!I18</f>
        <v>0</v>
      </c>
      <c r="N6" s="17">
        <f>Geral!I21</f>
        <v>0</v>
      </c>
      <c r="O6" s="17">
        <f>Geral!I22</f>
        <v>0</v>
      </c>
      <c r="P6" s="17">
        <f>Geral!I24</f>
        <v>0</v>
      </c>
      <c r="Q6" s="17">
        <f>Geral!I28</f>
        <v>0</v>
      </c>
      <c r="R6" s="17">
        <f>Geral!I29</f>
        <v>0</v>
      </c>
      <c r="S6" s="17">
        <f>Geral!I30</f>
        <v>0</v>
      </c>
      <c r="T6" s="17">
        <f>Geral!I31</f>
        <v>0</v>
      </c>
      <c r="U6" s="17">
        <f>Geral!I32</f>
        <v>0</v>
      </c>
      <c r="V6" s="17">
        <f>Geral!I33</f>
        <v>0</v>
      </c>
      <c r="W6" s="17">
        <f>Geral!I34</f>
        <v>0</v>
      </c>
      <c r="X6" s="17">
        <f>Geral!I35</f>
        <v>0</v>
      </c>
      <c r="Y6" s="17">
        <f>Geral!I36</f>
        <v>0</v>
      </c>
      <c r="Z6" s="17">
        <f>Geral!I37</f>
        <v>0</v>
      </c>
      <c r="AA6" s="17">
        <f>Geral!I38</f>
        <v>0</v>
      </c>
      <c r="AB6" s="17">
        <f>Geral!I39</f>
        <v>0</v>
      </c>
      <c r="AC6" s="17">
        <f>Geral!I44</f>
        <v>0</v>
      </c>
      <c r="AD6" s="17">
        <f>Geral!I45</f>
        <v>0</v>
      </c>
      <c r="AE6" s="17">
        <f>Geral!I46</f>
        <v>0</v>
      </c>
      <c r="AF6" s="17">
        <f>Geral!I49</f>
        <v>0</v>
      </c>
      <c r="AG6" s="17">
        <f>Geral!I50</f>
        <v>0</v>
      </c>
      <c r="AH6" s="17">
        <f>Geral!I51</f>
        <v>0</v>
      </c>
      <c r="AI6" s="17">
        <f>Geral!I52</f>
        <v>0</v>
      </c>
      <c r="AJ6" s="17">
        <f>Geral!I53</f>
        <v>0</v>
      </c>
    </row>
    <row r="7" spans="1:36" x14ac:dyDescent="0.2">
      <c r="A7" s="1" t="s">
        <v>38</v>
      </c>
      <c r="B7" s="17">
        <f>Geral!J5</f>
        <v>0</v>
      </c>
      <c r="C7" s="17">
        <f>Geral!J6</f>
        <v>0</v>
      </c>
      <c r="D7" s="17">
        <f>Geral!J7</f>
        <v>0</v>
      </c>
      <c r="E7" s="17">
        <f>Geral!J8</f>
        <v>0</v>
      </c>
      <c r="F7" s="17">
        <f>Geral!J9</f>
        <v>0</v>
      </c>
      <c r="G7" s="17">
        <f>Geral!J10</f>
        <v>0</v>
      </c>
      <c r="H7" s="17">
        <f>Geral!J11</f>
        <v>0</v>
      </c>
      <c r="I7" s="17">
        <f>Geral!J12</f>
        <v>0</v>
      </c>
      <c r="J7" s="17">
        <f>Geral!J14</f>
        <v>0</v>
      </c>
      <c r="K7" s="17">
        <f>Geral!J15</f>
        <v>0</v>
      </c>
      <c r="L7" s="17">
        <f>Geral!J17</f>
        <v>0</v>
      </c>
      <c r="M7" s="17">
        <f>Geral!J18</f>
        <v>0</v>
      </c>
      <c r="N7" s="17">
        <f>Geral!J21</f>
        <v>0</v>
      </c>
      <c r="O7" s="17">
        <f>Geral!J22</f>
        <v>0</v>
      </c>
      <c r="P7" s="17">
        <f>Geral!J24</f>
        <v>0</v>
      </c>
      <c r="Q7" s="17">
        <f>Geral!J28</f>
        <v>0</v>
      </c>
      <c r="R7" s="17">
        <f>Geral!J29</f>
        <v>0</v>
      </c>
      <c r="S7" s="17">
        <f>Geral!J30</f>
        <v>0</v>
      </c>
      <c r="T7" s="17">
        <f>Geral!J31</f>
        <v>0</v>
      </c>
      <c r="U7" s="17">
        <f>Geral!J32</f>
        <v>0</v>
      </c>
      <c r="V7" s="17">
        <f>Geral!J33</f>
        <v>0</v>
      </c>
      <c r="W7" s="17">
        <f>Geral!J34</f>
        <v>0</v>
      </c>
      <c r="X7" s="17">
        <f>Geral!J35</f>
        <v>0</v>
      </c>
      <c r="Y7" s="17">
        <f>Geral!J36</f>
        <v>0</v>
      </c>
      <c r="Z7" s="17">
        <f>Geral!J37</f>
        <v>0</v>
      </c>
      <c r="AA7" s="17">
        <f>Geral!J38</f>
        <v>0</v>
      </c>
      <c r="AB7" s="17">
        <f>Geral!J39</f>
        <v>0</v>
      </c>
      <c r="AC7" s="17">
        <f>Geral!J44</f>
        <v>0</v>
      </c>
      <c r="AD7" s="17">
        <f>Geral!J45</f>
        <v>0</v>
      </c>
      <c r="AE7" s="17">
        <f>Geral!J46</f>
        <v>0</v>
      </c>
      <c r="AF7" s="17">
        <f>Geral!J49</f>
        <v>0</v>
      </c>
      <c r="AG7" s="17">
        <f>Geral!J50</f>
        <v>0</v>
      </c>
      <c r="AH7" s="17">
        <f>Geral!J51</f>
        <v>0</v>
      </c>
      <c r="AI7" s="17">
        <f>Geral!J52</f>
        <v>0</v>
      </c>
      <c r="AJ7" s="17">
        <f>Geral!J53</f>
        <v>0</v>
      </c>
    </row>
    <row r="8" spans="1:36" x14ac:dyDescent="0.2">
      <c r="A8" s="1" t="s">
        <v>2</v>
      </c>
      <c r="B8" s="17">
        <f>Geral!K5</f>
        <v>0</v>
      </c>
      <c r="C8" s="17">
        <f>Geral!K6</f>
        <v>0</v>
      </c>
      <c r="D8" s="17">
        <f>Geral!K7</f>
        <v>0</v>
      </c>
      <c r="E8" s="17">
        <f>Geral!K8</f>
        <v>0</v>
      </c>
      <c r="F8" s="17">
        <f>Geral!K9</f>
        <v>0</v>
      </c>
      <c r="G8" s="17">
        <f>Geral!K10</f>
        <v>0</v>
      </c>
      <c r="H8" s="17">
        <f>Geral!K11</f>
        <v>0</v>
      </c>
      <c r="I8" s="17">
        <f>Geral!K12</f>
        <v>0</v>
      </c>
      <c r="J8" s="17">
        <f>Geral!K14</f>
        <v>0</v>
      </c>
      <c r="K8" s="17">
        <f>Geral!K15</f>
        <v>0</v>
      </c>
      <c r="L8" s="17">
        <f>Geral!K17</f>
        <v>0</v>
      </c>
      <c r="M8" s="17">
        <f>Geral!K18</f>
        <v>0</v>
      </c>
      <c r="N8" s="17">
        <f>Geral!K21</f>
        <v>0</v>
      </c>
      <c r="O8" s="17">
        <f>Geral!K22</f>
        <v>0</v>
      </c>
      <c r="P8" s="17">
        <f>Geral!K24</f>
        <v>0</v>
      </c>
      <c r="Q8" s="17">
        <f>Geral!K28</f>
        <v>0</v>
      </c>
      <c r="R8" s="17">
        <f>Geral!K29</f>
        <v>0</v>
      </c>
      <c r="S8" s="17">
        <f>Geral!K30</f>
        <v>0</v>
      </c>
      <c r="T8" s="17">
        <f>Geral!K31</f>
        <v>0</v>
      </c>
      <c r="U8" s="17">
        <f>Geral!K32</f>
        <v>0</v>
      </c>
      <c r="V8" s="17">
        <f>Geral!K33</f>
        <v>0</v>
      </c>
      <c r="W8" s="17">
        <f>Geral!K34</f>
        <v>0</v>
      </c>
      <c r="X8" s="17">
        <f>Geral!K35</f>
        <v>0</v>
      </c>
      <c r="Y8" s="17">
        <f>Geral!K36</f>
        <v>0</v>
      </c>
      <c r="Z8" s="17">
        <f>Geral!K37</f>
        <v>0</v>
      </c>
      <c r="AA8" s="17">
        <f>Geral!K38</f>
        <v>0</v>
      </c>
      <c r="AB8" s="17">
        <f>Geral!K39</f>
        <v>0</v>
      </c>
      <c r="AC8" s="17">
        <f>Geral!K44</f>
        <v>0</v>
      </c>
      <c r="AD8" s="17">
        <f>Geral!K45</f>
        <v>0</v>
      </c>
      <c r="AE8" s="17">
        <f>Geral!K46</f>
        <v>0</v>
      </c>
      <c r="AF8" s="17">
        <f>Geral!K49</f>
        <v>0</v>
      </c>
      <c r="AG8" s="17">
        <f>Geral!K50</f>
        <v>0</v>
      </c>
      <c r="AH8" s="17">
        <f>Geral!K51</f>
        <v>0</v>
      </c>
      <c r="AI8" s="17">
        <f>Geral!K52</f>
        <v>0</v>
      </c>
      <c r="AJ8" s="17">
        <f>Geral!K53</f>
        <v>0</v>
      </c>
    </row>
    <row r="9" spans="1:36" x14ac:dyDescent="0.2">
      <c r="A9" s="1" t="s">
        <v>3</v>
      </c>
      <c r="B9" s="17">
        <f>Geral!L5</f>
        <v>0</v>
      </c>
      <c r="C9" s="17">
        <f>Geral!L6</f>
        <v>0</v>
      </c>
      <c r="D9" s="17">
        <f>Geral!L7</f>
        <v>0</v>
      </c>
      <c r="E9" s="17">
        <f>Geral!L8</f>
        <v>0</v>
      </c>
      <c r="F9" s="17">
        <f>Geral!L9</f>
        <v>0</v>
      </c>
      <c r="G9" s="17">
        <f>Geral!L10</f>
        <v>0</v>
      </c>
      <c r="H9" s="17">
        <f>Geral!L11</f>
        <v>0</v>
      </c>
      <c r="I9" s="17">
        <f>Geral!L12</f>
        <v>0</v>
      </c>
      <c r="J9" s="17">
        <f>Geral!L14</f>
        <v>0</v>
      </c>
      <c r="K9" s="17">
        <f>Geral!L15</f>
        <v>0</v>
      </c>
      <c r="L9" s="17">
        <f>Geral!L17</f>
        <v>0</v>
      </c>
      <c r="M9" s="17">
        <f>Geral!L18</f>
        <v>0</v>
      </c>
      <c r="N9" s="17">
        <f>Geral!L21</f>
        <v>0</v>
      </c>
      <c r="O9" s="17">
        <f>Geral!L22</f>
        <v>0</v>
      </c>
      <c r="P9" s="17">
        <f>Geral!L24</f>
        <v>0</v>
      </c>
      <c r="Q9" s="17">
        <f>Geral!L28</f>
        <v>0</v>
      </c>
      <c r="R9" s="17">
        <f>Geral!L29</f>
        <v>0</v>
      </c>
      <c r="S9" s="17">
        <f>Geral!L30</f>
        <v>0</v>
      </c>
      <c r="T9" s="17">
        <f>Geral!L31</f>
        <v>0</v>
      </c>
      <c r="U9" s="17">
        <f>Geral!L32</f>
        <v>0</v>
      </c>
      <c r="V9" s="17">
        <f>Geral!L33</f>
        <v>0</v>
      </c>
      <c r="W9" s="17">
        <f>Geral!L34</f>
        <v>0</v>
      </c>
      <c r="X9" s="17">
        <f>Geral!L35</f>
        <v>0</v>
      </c>
      <c r="Y9" s="17">
        <f>Geral!L36</f>
        <v>0</v>
      </c>
      <c r="Z9" s="17">
        <f>Geral!L37</f>
        <v>0</v>
      </c>
      <c r="AA9" s="17">
        <f>Geral!L38</f>
        <v>0</v>
      </c>
      <c r="AB9" s="17">
        <f>Geral!L39</f>
        <v>0</v>
      </c>
      <c r="AC9" s="17">
        <f>Geral!L44</f>
        <v>0</v>
      </c>
      <c r="AD9" s="17">
        <f>Geral!L45</f>
        <v>0</v>
      </c>
      <c r="AE9" s="17">
        <f>Geral!L46</f>
        <v>0</v>
      </c>
      <c r="AF9" s="17">
        <f>Geral!L49</f>
        <v>0</v>
      </c>
      <c r="AG9" s="17">
        <f>Geral!L50</f>
        <v>0</v>
      </c>
      <c r="AH9" s="17">
        <f>Geral!L51</f>
        <v>0</v>
      </c>
      <c r="AI9" s="17">
        <f>Geral!L52</f>
        <v>0</v>
      </c>
      <c r="AJ9" s="17">
        <f>Geral!L53</f>
        <v>0</v>
      </c>
    </row>
    <row r="10" spans="1:36" x14ac:dyDescent="0.2">
      <c r="A10" s="1" t="s">
        <v>4</v>
      </c>
      <c r="B10" s="17">
        <f>Geral!M5</f>
        <v>0</v>
      </c>
      <c r="C10" s="17">
        <f>Geral!M6</f>
        <v>0</v>
      </c>
      <c r="D10" s="17">
        <f>Geral!M7</f>
        <v>0</v>
      </c>
      <c r="E10" s="17">
        <f>Geral!M8</f>
        <v>0</v>
      </c>
      <c r="F10" s="17">
        <f>Geral!M9</f>
        <v>0</v>
      </c>
      <c r="G10" s="17">
        <f>Geral!M10</f>
        <v>0</v>
      </c>
      <c r="H10" s="17">
        <f>Geral!M11</f>
        <v>0</v>
      </c>
      <c r="I10" s="17">
        <f>Geral!M12</f>
        <v>0</v>
      </c>
      <c r="J10" s="17">
        <f>Geral!M14</f>
        <v>0</v>
      </c>
      <c r="K10" s="17">
        <f>Geral!M15</f>
        <v>0</v>
      </c>
      <c r="L10" s="17">
        <f>Geral!M17</f>
        <v>0</v>
      </c>
      <c r="M10" s="17">
        <f>Geral!M18</f>
        <v>0</v>
      </c>
      <c r="N10" s="17">
        <f>Geral!M21</f>
        <v>0</v>
      </c>
      <c r="O10" s="17">
        <f>Geral!M22</f>
        <v>0</v>
      </c>
      <c r="P10" s="17">
        <f>Geral!M24</f>
        <v>0</v>
      </c>
      <c r="Q10" s="17">
        <f>Geral!M28</f>
        <v>0</v>
      </c>
      <c r="R10" s="17">
        <f>Geral!M29</f>
        <v>0</v>
      </c>
      <c r="S10" s="17">
        <f>Geral!M30</f>
        <v>0</v>
      </c>
      <c r="T10" s="17">
        <f>Geral!M31</f>
        <v>0</v>
      </c>
      <c r="U10" s="17">
        <f>Geral!M32</f>
        <v>0</v>
      </c>
      <c r="V10" s="17">
        <f>Geral!M33</f>
        <v>0</v>
      </c>
      <c r="W10" s="17">
        <f>Geral!M34</f>
        <v>0</v>
      </c>
      <c r="X10" s="17">
        <f>Geral!M35</f>
        <v>0</v>
      </c>
      <c r="Y10" s="17">
        <f>Geral!M36</f>
        <v>0</v>
      </c>
      <c r="Z10" s="17">
        <f>Geral!M37</f>
        <v>0</v>
      </c>
      <c r="AA10" s="17">
        <f>Geral!M38</f>
        <v>0</v>
      </c>
      <c r="AB10" s="17">
        <f>Geral!M39</f>
        <v>0</v>
      </c>
      <c r="AC10" s="17">
        <f>Geral!M44</f>
        <v>0</v>
      </c>
      <c r="AD10" s="17">
        <f>Geral!M45</f>
        <v>0</v>
      </c>
      <c r="AE10" s="17">
        <f>Geral!M46</f>
        <v>0</v>
      </c>
      <c r="AF10" s="17">
        <f>Geral!M49</f>
        <v>0</v>
      </c>
      <c r="AG10" s="17">
        <f>Geral!M50</f>
        <v>0</v>
      </c>
      <c r="AH10" s="17">
        <f>Geral!M51</f>
        <v>0</v>
      </c>
      <c r="AI10" s="17">
        <f>Geral!M52</f>
        <v>0</v>
      </c>
      <c r="AJ10" s="17">
        <f>Geral!M53</f>
        <v>0</v>
      </c>
    </row>
    <row r="11" spans="1:36" x14ac:dyDescent="0.2">
      <c r="A11" s="1" t="s">
        <v>29</v>
      </c>
      <c r="B11" s="17">
        <f>Geral!N5</f>
        <v>0</v>
      </c>
      <c r="C11" s="17">
        <f>Geral!N6</f>
        <v>0</v>
      </c>
      <c r="D11" s="17">
        <f>Geral!N7</f>
        <v>0</v>
      </c>
      <c r="E11" s="17">
        <f>Geral!N8</f>
        <v>0</v>
      </c>
      <c r="F11" s="17">
        <f>Geral!N9</f>
        <v>0</v>
      </c>
      <c r="G11" s="17">
        <f>Geral!N10</f>
        <v>0</v>
      </c>
      <c r="H11" s="17">
        <f>Geral!N11</f>
        <v>0</v>
      </c>
      <c r="I11" s="17">
        <f>Geral!N12</f>
        <v>0</v>
      </c>
      <c r="J11" s="17">
        <f>Geral!N14</f>
        <v>0</v>
      </c>
      <c r="K11" s="17">
        <f>Geral!N15</f>
        <v>0</v>
      </c>
      <c r="L11" s="17">
        <f>Geral!N17</f>
        <v>0</v>
      </c>
      <c r="M11" s="17">
        <f>Geral!N18</f>
        <v>0</v>
      </c>
      <c r="N11" s="17">
        <f>Geral!N21</f>
        <v>0</v>
      </c>
      <c r="O11" s="17">
        <f>Geral!N22</f>
        <v>0</v>
      </c>
      <c r="P11" s="17">
        <f>Geral!N24</f>
        <v>0</v>
      </c>
      <c r="Q11" s="17">
        <f>Geral!N28</f>
        <v>0</v>
      </c>
      <c r="R11" s="17">
        <f>Geral!N29</f>
        <v>0</v>
      </c>
      <c r="S11" s="17">
        <f>Geral!N30</f>
        <v>0</v>
      </c>
      <c r="T11" s="17">
        <f>Geral!N31</f>
        <v>0</v>
      </c>
      <c r="U11" s="17">
        <f>Geral!N32</f>
        <v>0</v>
      </c>
      <c r="V11" s="17">
        <f>Geral!N33</f>
        <v>0</v>
      </c>
      <c r="W11" s="17">
        <f>Geral!N34</f>
        <v>0</v>
      </c>
      <c r="X11" s="17">
        <f>Geral!N35</f>
        <v>0</v>
      </c>
      <c r="Y11" s="17">
        <f>Geral!N36</f>
        <v>0</v>
      </c>
      <c r="Z11" s="17">
        <f>Geral!N37</f>
        <v>0</v>
      </c>
      <c r="AA11" s="17">
        <f>Geral!N38</f>
        <v>0</v>
      </c>
      <c r="AB11" s="17">
        <f>Geral!N39</f>
        <v>0</v>
      </c>
      <c r="AC11" s="17">
        <f>Geral!N44</f>
        <v>0</v>
      </c>
      <c r="AD11" s="17">
        <f>Geral!N45</f>
        <v>0</v>
      </c>
      <c r="AE11" s="17">
        <f>Geral!N46</f>
        <v>0</v>
      </c>
      <c r="AF11" s="17">
        <f>Geral!N49</f>
        <v>0</v>
      </c>
      <c r="AG11" s="17">
        <f>Geral!N50</f>
        <v>0</v>
      </c>
      <c r="AH11" s="17">
        <f>Geral!N51</f>
        <v>0</v>
      </c>
      <c r="AI11" s="17">
        <f>Geral!N52</f>
        <v>0</v>
      </c>
      <c r="AJ11" s="17">
        <f>Geral!N53</f>
        <v>0</v>
      </c>
    </row>
    <row r="12" spans="1:36" x14ac:dyDescent="0.2">
      <c r="A12" s="1" t="s">
        <v>30</v>
      </c>
      <c r="B12" s="17">
        <f>Geral!O5</f>
        <v>0</v>
      </c>
      <c r="C12" s="17">
        <f>Geral!O6</f>
        <v>0</v>
      </c>
      <c r="D12" s="17">
        <f>Geral!O7</f>
        <v>0</v>
      </c>
      <c r="E12" s="17">
        <f>Geral!O8</f>
        <v>0</v>
      </c>
      <c r="F12" s="17">
        <f>Geral!O9</f>
        <v>0</v>
      </c>
      <c r="G12" s="17">
        <f>Geral!O10</f>
        <v>0</v>
      </c>
      <c r="H12" s="17">
        <f>Geral!O11</f>
        <v>0</v>
      </c>
      <c r="I12" s="17">
        <f>Geral!O12</f>
        <v>0</v>
      </c>
      <c r="J12" s="17">
        <f>Geral!O14</f>
        <v>0</v>
      </c>
      <c r="K12" s="17">
        <f>Geral!O15</f>
        <v>0</v>
      </c>
      <c r="L12" s="17">
        <f>Geral!O17</f>
        <v>0</v>
      </c>
      <c r="M12" s="17">
        <f>Geral!O18</f>
        <v>0</v>
      </c>
      <c r="N12" s="17">
        <f>Geral!O21</f>
        <v>0</v>
      </c>
      <c r="O12" s="17">
        <f>Geral!O22</f>
        <v>0</v>
      </c>
      <c r="P12" s="17">
        <f>Geral!O24</f>
        <v>0</v>
      </c>
      <c r="Q12" s="17">
        <f>Geral!O28</f>
        <v>0</v>
      </c>
      <c r="R12" s="17">
        <f>Geral!O29</f>
        <v>0</v>
      </c>
      <c r="S12" s="17">
        <f>Geral!O30</f>
        <v>0</v>
      </c>
      <c r="T12" s="17">
        <f>Geral!O31</f>
        <v>0</v>
      </c>
      <c r="U12" s="17">
        <f>Geral!O32</f>
        <v>0</v>
      </c>
      <c r="V12" s="17">
        <f>Geral!O33</f>
        <v>0</v>
      </c>
      <c r="W12" s="17">
        <f>Geral!O34</f>
        <v>0</v>
      </c>
      <c r="X12" s="17">
        <f>Geral!O35</f>
        <v>0</v>
      </c>
      <c r="Y12" s="17">
        <f>Geral!O36</f>
        <v>0</v>
      </c>
      <c r="Z12" s="17">
        <f>Geral!O37</f>
        <v>0</v>
      </c>
      <c r="AA12" s="17">
        <f>Geral!O38</f>
        <v>0</v>
      </c>
      <c r="AB12" s="17">
        <f>Geral!O39</f>
        <v>0</v>
      </c>
      <c r="AC12" s="17">
        <f>Geral!O44</f>
        <v>0</v>
      </c>
      <c r="AD12" s="17">
        <f>Geral!O45</f>
        <v>0</v>
      </c>
      <c r="AE12" s="17">
        <f>Geral!O46</f>
        <v>0</v>
      </c>
      <c r="AF12" s="17">
        <f>Geral!O49</f>
        <v>0</v>
      </c>
      <c r="AG12" s="17">
        <f>Geral!O50</f>
        <v>0</v>
      </c>
      <c r="AH12" s="17">
        <f>Geral!O51</f>
        <v>0</v>
      </c>
      <c r="AI12" s="17">
        <f>Geral!O52</f>
        <v>0</v>
      </c>
      <c r="AJ12" s="17">
        <f>Geral!O53</f>
        <v>0</v>
      </c>
    </row>
    <row r="13" spans="1:36" x14ac:dyDescent="0.2">
      <c r="A13" s="1" t="s">
        <v>31</v>
      </c>
      <c r="B13" s="17">
        <f>Geral!P5</f>
        <v>0</v>
      </c>
      <c r="C13" s="17">
        <f>Geral!P6</f>
        <v>0</v>
      </c>
      <c r="D13" s="17">
        <f>Geral!P7</f>
        <v>0</v>
      </c>
      <c r="E13" s="17">
        <f>Geral!P8</f>
        <v>0</v>
      </c>
      <c r="F13" s="17">
        <f>Geral!P9</f>
        <v>0</v>
      </c>
      <c r="G13" s="17">
        <f>Geral!P10</f>
        <v>0</v>
      </c>
      <c r="H13" s="17">
        <f>Geral!P11</f>
        <v>0</v>
      </c>
      <c r="I13" s="17">
        <f>Geral!P12</f>
        <v>0</v>
      </c>
      <c r="J13" s="17">
        <f>Geral!P14</f>
        <v>0</v>
      </c>
      <c r="K13" s="17">
        <f>Geral!P15</f>
        <v>0</v>
      </c>
      <c r="L13" s="17">
        <f>Geral!P17</f>
        <v>0</v>
      </c>
      <c r="M13" s="17">
        <f>Geral!P18</f>
        <v>0</v>
      </c>
      <c r="N13" s="17">
        <f>Geral!P21</f>
        <v>0</v>
      </c>
      <c r="O13" s="17">
        <f>Geral!P22</f>
        <v>0</v>
      </c>
      <c r="P13" s="17">
        <f>Geral!P24</f>
        <v>0</v>
      </c>
      <c r="Q13" s="17">
        <f>Geral!P28</f>
        <v>0</v>
      </c>
      <c r="R13" s="17">
        <f>Geral!P29</f>
        <v>0</v>
      </c>
      <c r="S13" s="17">
        <f>Geral!P30</f>
        <v>0</v>
      </c>
      <c r="T13" s="17">
        <f>Geral!P31</f>
        <v>0</v>
      </c>
      <c r="U13" s="17">
        <f>Geral!P32</f>
        <v>0</v>
      </c>
      <c r="V13" s="17">
        <f>Geral!P33</f>
        <v>0</v>
      </c>
      <c r="W13" s="17">
        <f>Geral!P34</f>
        <v>0</v>
      </c>
      <c r="X13" s="17">
        <f>Geral!P35</f>
        <v>0</v>
      </c>
      <c r="Y13" s="17">
        <f>Geral!P36</f>
        <v>0</v>
      </c>
      <c r="Z13" s="17">
        <f>Geral!P37</f>
        <v>0</v>
      </c>
      <c r="AA13" s="17">
        <f>Geral!P38</f>
        <v>0</v>
      </c>
      <c r="AB13" s="17">
        <f>Geral!P39</f>
        <v>0</v>
      </c>
      <c r="AC13" s="17">
        <f>Geral!P44</f>
        <v>0</v>
      </c>
      <c r="AD13" s="17">
        <f>Geral!P45</f>
        <v>0</v>
      </c>
      <c r="AE13" s="17">
        <f>Geral!P46</f>
        <v>0</v>
      </c>
      <c r="AF13" s="17">
        <f>Geral!P49</f>
        <v>0</v>
      </c>
      <c r="AG13" s="17">
        <f>Geral!P50</f>
        <v>0</v>
      </c>
      <c r="AH13" s="17">
        <f>Geral!P51</f>
        <v>0</v>
      </c>
      <c r="AI13" s="17">
        <f>Geral!P52</f>
        <v>0</v>
      </c>
      <c r="AJ13" s="17">
        <f>Geral!P53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Geral</vt:lpstr>
      <vt:lpstr>Financeiro</vt:lpstr>
      <vt:lpstr>Previdenciário</vt:lpstr>
      <vt:lpstr>Trimestral</vt:lpstr>
      <vt:lpstr>Gráfico Geral</vt:lpstr>
      <vt:lpstr>Gráfico Trimestral</vt:lpstr>
      <vt:lpstr>Dados</vt:lpstr>
      <vt:lpstr>Financeiro!Area_de_impressao</vt:lpstr>
      <vt:lpstr>Geral!Area_de_impressao</vt:lpstr>
      <vt:lpstr>'Gráfico Geral'!Area_de_impressao</vt:lpstr>
      <vt:lpstr>'Gráfico Trimestral'!Area_de_impressao</vt:lpstr>
      <vt:lpstr>Previdenciário!Area_de_impressao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prevbel</dc:creator>
  <cp:lastModifiedBy>Marta</cp:lastModifiedBy>
  <cp:lastPrinted>2020-02-04T17:57:36Z</cp:lastPrinted>
  <dcterms:created xsi:type="dcterms:W3CDTF">2016-02-16T16:19:14Z</dcterms:created>
  <dcterms:modified xsi:type="dcterms:W3CDTF">2020-05-19T13:44:16Z</dcterms:modified>
</cp:coreProperties>
</file>