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0" yWindow="1170" windowWidth="17940" windowHeight="9060" activeTab="3"/>
  </bookViews>
  <sheets>
    <sheet name="Geral" sheetId="13" r:id="rId1"/>
    <sheet name="Financeiro" sheetId="17" r:id="rId2"/>
    <sheet name="Previdenciário" sheetId="18" r:id="rId3"/>
    <sheet name="Trimestral" sheetId="3" r:id="rId4"/>
    <sheet name="Gráfico Geral" sheetId="14" r:id="rId5"/>
    <sheet name="Gráfico Trimestral" sheetId="15" r:id="rId6"/>
    <sheet name="Dados" sheetId="16" state="hidden" r:id="rId7"/>
  </sheets>
  <definedNames>
    <definedName name="_xlnm.Print_Area" localSheetId="1">Financeiro!$A$2:$Q$31</definedName>
    <definedName name="_xlnm.Print_Area" localSheetId="0">Geral!$A$1:$Q$52</definedName>
    <definedName name="_xlnm.Print_Area" localSheetId="4">'Gráfico Geral'!$A$1:$M$60</definedName>
    <definedName name="_xlnm.Print_Area" localSheetId="5">'Gráfico Trimestral'!$A$1:$M$60</definedName>
    <definedName name="_xlnm.Print_Area" localSheetId="2">Previdenciário!$A$2:$Q$24</definedName>
  </definedNames>
  <calcPr calcId="144525"/>
</workbook>
</file>

<file path=xl/calcChain.xml><?xml version="1.0" encoding="utf-8"?>
<calcChain xmlns="http://schemas.openxmlformats.org/spreadsheetml/2006/main">
  <c r="A5" i="3" l="1"/>
  <c r="F11" i="18" l="1"/>
  <c r="F16" i="18" s="1"/>
  <c r="F21" i="18" s="1"/>
  <c r="G11" i="18"/>
  <c r="G16" i="18" s="1"/>
  <c r="H11" i="18"/>
  <c r="I11" i="18"/>
  <c r="I16" i="18" s="1"/>
  <c r="J11" i="18"/>
  <c r="J16" i="18" s="1"/>
  <c r="J21" i="18" s="1"/>
  <c r="K11" i="18"/>
  <c r="K16" i="18" s="1"/>
  <c r="L11" i="18"/>
  <c r="M11" i="18"/>
  <c r="M16" i="18" s="1"/>
  <c r="N11" i="18"/>
  <c r="N16" i="18" s="1"/>
  <c r="N21" i="18" s="1"/>
  <c r="O11" i="18"/>
  <c r="O16" i="18" s="1"/>
  <c r="P11" i="18"/>
  <c r="F12" i="18"/>
  <c r="G12" i="18"/>
  <c r="Q12" i="18" s="1"/>
  <c r="H12" i="18"/>
  <c r="I12" i="18"/>
  <c r="J12" i="18"/>
  <c r="K12" i="18"/>
  <c r="L12" i="18"/>
  <c r="M12" i="18"/>
  <c r="N12" i="18"/>
  <c r="O12" i="18"/>
  <c r="P12" i="18"/>
  <c r="F13" i="18"/>
  <c r="G13" i="18"/>
  <c r="H13" i="18"/>
  <c r="I13" i="18"/>
  <c r="J13" i="18"/>
  <c r="K13" i="18"/>
  <c r="L13" i="18"/>
  <c r="M13" i="18"/>
  <c r="N13" i="18"/>
  <c r="O13" i="18"/>
  <c r="P13" i="18"/>
  <c r="F14" i="18"/>
  <c r="G14" i="18"/>
  <c r="H14" i="18"/>
  <c r="I14" i="18"/>
  <c r="J14" i="18"/>
  <c r="K14" i="18"/>
  <c r="L14" i="18"/>
  <c r="M14" i="18"/>
  <c r="N14" i="18"/>
  <c r="O14" i="18"/>
  <c r="P14" i="18"/>
  <c r="F15" i="18"/>
  <c r="G15" i="18"/>
  <c r="H15" i="18"/>
  <c r="I15" i="18"/>
  <c r="J15" i="18"/>
  <c r="K15" i="18"/>
  <c r="L15" i="18"/>
  <c r="M15" i="18"/>
  <c r="N15" i="18"/>
  <c r="O15" i="18"/>
  <c r="P15" i="18"/>
  <c r="E15" i="18"/>
  <c r="Q15" i="18" s="1"/>
  <c r="E14" i="18"/>
  <c r="Q14" i="18" s="1"/>
  <c r="E13" i="18"/>
  <c r="Q13" i="18" s="1"/>
  <c r="E12" i="18"/>
  <c r="E11" i="18"/>
  <c r="E16" i="18" s="1"/>
  <c r="E21" i="18" s="1"/>
  <c r="F4" i="18"/>
  <c r="G4" i="18"/>
  <c r="H4" i="18"/>
  <c r="I4" i="18"/>
  <c r="J4" i="18"/>
  <c r="K4" i="18"/>
  <c r="L4" i="18"/>
  <c r="M4" i="18"/>
  <c r="N4" i="18"/>
  <c r="O4" i="18"/>
  <c r="P4" i="18"/>
  <c r="F5" i="18"/>
  <c r="G5" i="18"/>
  <c r="H5" i="18"/>
  <c r="I5" i="18"/>
  <c r="I8" i="18" s="1"/>
  <c r="J5" i="18"/>
  <c r="K5" i="18"/>
  <c r="L5" i="18"/>
  <c r="M5" i="18"/>
  <c r="M8" i="18" s="1"/>
  <c r="N5" i="18"/>
  <c r="O5" i="18"/>
  <c r="P5" i="18"/>
  <c r="F6" i="18"/>
  <c r="F8" i="18" s="1"/>
  <c r="G6" i="18"/>
  <c r="H6" i="18"/>
  <c r="I6" i="18"/>
  <c r="J6" i="18"/>
  <c r="J8" i="18" s="1"/>
  <c r="K6" i="18"/>
  <c r="L6" i="18"/>
  <c r="M6" i="18"/>
  <c r="N6" i="18"/>
  <c r="N8" i="18" s="1"/>
  <c r="O6" i="18"/>
  <c r="P6" i="18"/>
  <c r="F7" i="18"/>
  <c r="G7" i="18"/>
  <c r="G8" i="18" s="1"/>
  <c r="G20" i="18" s="1"/>
  <c r="H7" i="18"/>
  <c r="I7" i="18"/>
  <c r="J7" i="18"/>
  <c r="K7" i="18"/>
  <c r="K8" i="18" s="1"/>
  <c r="K20" i="18" s="1"/>
  <c r="L7" i="18"/>
  <c r="M7" i="18"/>
  <c r="N7" i="18"/>
  <c r="O7" i="18"/>
  <c r="O8" i="18" s="1"/>
  <c r="O20" i="18" s="1"/>
  <c r="P7" i="18"/>
  <c r="E7" i="18"/>
  <c r="Q7" i="18" s="1"/>
  <c r="E6" i="18"/>
  <c r="E5" i="18"/>
  <c r="E8" i="18" s="1"/>
  <c r="E20" i="18" s="1"/>
  <c r="E4" i="18"/>
  <c r="F17" i="17"/>
  <c r="G17" i="17"/>
  <c r="H17" i="17"/>
  <c r="I17" i="17"/>
  <c r="J17" i="17"/>
  <c r="K17" i="17"/>
  <c r="L17" i="17"/>
  <c r="M17" i="17"/>
  <c r="N17" i="17"/>
  <c r="O17" i="17"/>
  <c r="P17" i="17"/>
  <c r="F18" i="17"/>
  <c r="G18" i="17"/>
  <c r="H18" i="17"/>
  <c r="I18" i="17"/>
  <c r="J18" i="17"/>
  <c r="K18" i="17"/>
  <c r="L18" i="17"/>
  <c r="M18" i="17"/>
  <c r="N18" i="17"/>
  <c r="O18" i="17"/>
  <c r="P18" i="17"/>
  <c r="F19" i="17"/>
  <c r="G19" i="17"/>
  <c r="H19" i="17"/>
  <c r="I19" i="17"/>
  <c r="J19" i="17"/>
  <c r="K19" i="17"/>
  <c r="L19" i="17"/>
  <c r="M19" i="17"/>
  <c r="N19" i="17"/>
  <c r="O19" i="17"/>
  <c r="P19" i="17"/>
  <c r="F20" i="17"/>
  <c r="G20" i="17"/>
  <c r="H20" i="17"/>
  <c r="I20" i="17"/>
  <c r="J20" i="17"/>
  <c r="K20" i="17"/>
  <c r="L20" i="17"/>
  <c r="M20" i="17"/>
  <c r="N20" i="17"/>
  <c r="O20" i="17"/>
  <c r="P20" i="17"/>
  <c r="F21" i="17"/>
  <c r="G21" i="17"/>
  <c r="H21" i="17"/>
  <c r="I21" i="17"/>
  <c r="J21" i="17"/>
  <c r="K21" i="17"/>
  <c r="L21" i="17"/>
  <c r="M21" i="17"/>
  <c r="N21" i="17"/>
  <c r="O21" i="17"/>
  <c r="P21" i="17"/>
  <c r="F22" i="17"/>
  <c r="G22" i="17"/>
  <c r="H22" i="17"/>
  <c r="I22" i="17"/>
  <c r="J22" i="17"/>
  <c r="K22" i="17"/>
  <c r="L22" i="17"/>
  <c r="M22" i="17"/>
  <c r="N22" i="17"/>
  <c r="O22" i="17"/>
  <c r="P22" i="17"/>
  <c r="F23" i="17"/>
  <c r="G23" i="17"/>
  <c r="H23" i="17"/>
  <c r="I23" i="17"/>
  <c r="J23" i="17"/>
  <c r="K23" i="17"/>
  <c r="L23" i="17"/>
  <c r="M23" i="17"/>
  <c r="N23" i="17"/>
  <c r="O23" i="17"/>
  <c r="P23" i="17"/>
  <c r="E23" i="17"/>
  <c r="E22" i="17"/>
  <c r="E21" i="17"/>
  <c r="E20" i="17"/>
  <c r="E19" i="17"/>
  <c r="E18" i="17"/>
  <c r="E17" i="17"/>
  <c r="F11" i="17"/>
  <c r="G11" i="17"/>
  <c r="H11" i="17"/>
  <c r="I11" i="17"/>
  <c r="J11" i="17"/>
  <c r="K11" i="17"/>
  <c r="L11" i="17"/>
  <c r="M11" i="17"/>
  <c r="N11" i="17"/>
  <c r="O11" i="17"/>
  <c r="P11" i="17"/>
  <c r="F12" i="17"/>
  <c r="G12" i="17"/>
  <c r="H12" i="17"/>
  <c r="I12" i="17"/>
  <c r="J12" i="17"/>
  <c r="K12" i="17"/>
  <c r="L12" i="17"/>
  <c r="M12" i="17"/>
  <c r="N12" i="17"/>
  <c r="O12" i="17"/>
  <c r="P12" i="17"/>
  <c r="F13" i="17"/>
  <c r="G13" i="17"/>
  <c r="H13" i="17"/>
  <c r="I13" i="17"/>
  <c r="J13" i="17"/>
  <c r="K13" i="17"/>
  <c r="L13" i="17"/>
  <c r="M13" i="17"/>
  <c r="N13" i="17"/>
  <c r="O13" i="17"/>
  <c r="P13" i="17"/>
  <c r="E13" i="17"/>
  <c r="E12" i="17"/>
  <c r="E11" i="17"/>
  <c r="G8" i="17"/>
  <c r="H8" i="17"/>
  <c r="I8" i="17"/>
  <c r="J8" i="17"/>
  <c r="K8" i="17"/>
  <c r="L8" i="17"/>
  <c r="M8" i="17"/>
  <c r="N8" i="17"/>
  <c r="O8" i="17"/>
  <c r="P8" i="17"/>
  <c r="F8" i="17"/>
  <c r="E8" i="17"/>
  <c r="F7" i="17"/>
  <c r="G7" i="17"/>
  <c r="H7" i="17"/>
  <c r="I7" i="17"/>
  <c r="J7" i="17"/>
  <c r="K7" i="17"/>
  <c r="L7" i="17"/>
  <c r="M7" i="17"/>
  <c r="N7" i="17"/>
  <c r="O7" i="17"/>
  <c r="P7" i="17"/>
  <c r="E7" i="17"/>
  <c r="F6" i="17"/>
  <c r="G6" i="17"/>
  <c r="H6" i="17"/>
  <c r="I6" i="17"/>
  <c r="J6" i="17"/>
  <c r="K6" i="17"/>
  <c r="L6" i="17"/>
  <c r="M6" i="17"/>
  <c r="N6" i="17"/>
  <c r="O6" i="17"/>
  <c r="P6" i="17"/>
  <c r="E6" i="17"/>
  <c r="F5" i="17"/>
  <c r="G5" i="17"/>
  <c r="H5" i="17"/>
  <c r="I5" i="17"/>
  <c r="J5" i="17"/>
  <c r="K5" i="17"/>
  <c r="L5" i="17"/>
  <c r="M5" i="17"/>
  <c r="N5" i="17"/>
  <c r="O5" i="17"/>
  <c r="P5" i="17"/>
  <c r="E5" i="17"/>
  <c r="F4" i="17"/>
  <c r="G4" i="17"/>
  <c r="H4" i="17"/>
  <c r="I4" i="17"/>
  <c r="J4" i="17"/>
  <c r="K4" i="17"/>
  <c r="L4" i="17"/>
  <c r="M4" i="17"/>
  <c r="N4" i="17"/>
  <c r="O4" i="17"/>
  <c r="P4" i="17"/>
  <c r="E4" i="17"/>
  <c r="A54" i="3"/>
  <c r="A47" i="3"/>
  <c r="A46" i="3"/>
  <c r="A45" i="3"/>
  <c r="A40" i="3"/>
  <c r="A39" i="3"/>
  <c r="A38" i="3"/>
  <c r="A37" i="3"/>
  <c r="A36" i="3"/>
  <c r="A35" i="3"/>
  <c r="A34" i="3"/>
  <c r="A33" i="3"/>
  <c r="A32" i="3"/>
  <c r="A31" i="3"/>
  <c r="A30" i="3"/>
  <c r="A29" i="3"/>
  <c r="A25" i="3"/>
  <c r="A23" i="3"/>
  <c r="A22" i="3"/>
  <c r="A19" i="3"/>
  <c r="A18" i="3"/>
  <c r="A16" i="3"/>
  <c r="A15" i="3"/>
  <c r="A13" i="3"/>
  <c r="A12" i="3"/>
  <c r="A11" i="3"/>
  <c r="A10" i="3"/>
  <c r="A9" i="3"/>
  <c r="Q48" i="13"/>
  <c r="Q49" i="13"/>
  <c r="Q50" i="13"/>
  <c r="K54" i="3"/>
  <c r="L54" i="3" s="1"/>
  <c r="K53" i="3"/>
  <c r="L53" i="3" s="1"/>
  <c r="K52" i="3"/>
  <c r="L52" i="3" s="1"/>
  <c r="J54" i="3"/>
  <c r="J53" i="3"/>
  <c r="J52" i="3"/>
  <c r="I54" i="3"/>
  <c r="I53" i="3"/>
  <c r="I52" i="3"/>
  <c r="K51" i="3"/>
  <c r="J51" i="3"/>
  <c r="I51" i="3"/>
  <c r="AF2" i="16"/>
  <c r="AF3" i="16"/>
  <c r="AF4" i="16"/>
  <c r="AF5" i="16"/>
  <c r="AF6" i="16"/>
  <c r="AF7" i="16"/>
  <c r="AF8" i="16"/>
  <c r="AF9" i="16"/>
  <c r="AF10" i="16"/>
  <c r="AF11" i="16"/>
  <c r="AF12" i="16"/>
  <c r="AF13" i="16"/>
  <c r="AE2" i="16"/>
  <c r="AE3" i="16"/>
  <c r="AE4" i="16"/>
  <c r="AE5" i="16"/>
  <c r="AE6" i="16"/>
  <c r="AE7" i="16"/>
  <c r="AE8" i="16"/>
  <c r="AE9" i="16"/>
  <c r="AE10" i="16"/>
  <c r="AE11" i="16"/>
  <c r="AE12" i="16"/>
  <c r="AE13" i="16"/>
  <c r="AG2" i="16"/>
  <c r="A51" i="3"/>
  <c r="A50" i="3"/>
  <c r="A53" i="3"/>
  <c r="A52" i="3"/>
  <c r="X13" i="16"/>
  <c r="K39" i="3" s="1"/>
  <c r="X12" i="16"/>
  <c r="X11" i="16"/>
  <c r="X10" i="16"/>
  <c r="X9" i="16"/>
  <c r="X8" i="16"/>
  <c r="X7" i="16"/>
  <c r="J39" i="3" s="1"/>
  <c r="X6" i="16"/>
  <c r="I39" i="3" s="1"/>
  <c r="X5" i="16"/>
  <c r="X4" i="16"/>
  <c r="X3" i="16"/>
  <c r="X2" i="16"/>
  <c r="Y2" i="16"/>
  <c r="Y4" i="16"/>
  <c r="Y5" i="16"/>
  <c r="Y6" i="16"/>
  <c r="Y7" i="16"/>
  <c r="Y8" i="16"/>
  <c r="Y9" i="16"/>
  <c r="Y10" i="16"/>
  <c r="Y11" i="16"/>
  <c r="Y12" i="16"/>
  <c r="Y13" i="16"/>
  <c r="K40" i="3" s="1"/>
  <c r="Y3" i="16"/>
  <c r="Q35" i="13"/>
  <c r="A23" i="18"/>
  <c r="A31" i="17"/>
  <c r="L20" i="18" l="1"/>
  <c r="H20" i="18"/>
  <c r="Q6" i="18"/>
  <c r="Q5" i="18"/>
  <c r="O21" i="18"/>
  <c r="K21" i="18"/>
  <c r="K22" i="18" s="1"/>
  <c r="G21" i="18"/>
  <c r="M20" i="18"/>
  <c r="M22" i="18" s="1"/>
  <c r="Q4" i="18"/>
  <c r="P8" i="18"/>
  <c r="P20" i="18" s="1"/>
  <c r="P22" i="18" s="1"/>
  <c r="L8" i="18"/>
  <c r="H8" i="18"/>
  <c r="Q8" i="18" s="1"/>
  <c r="Q20" i="18" s="1"/>
  <c r="P21" i="18"/>
  <c r="P16" i="18"/>
  <c r="L16" i="18"/>
  <c r="L21" i="18" s="1"/>
  <c r="L22" i="18" s="1"/>
  <c r="H16" i="18"/>
  <c r="Q16" i="18" s="1"/>
  <c r="Q21" i="18" s="1"/>
  <c r="M21" i="18"/>
  <c r="I21" i="18"/>
  <c r="O22" i="18"/>
  <c r="G22" i="18"/>
  <c r="Q11" i="18"/>
  <c r="E22" i="18"/>
  <c r="N20" i="18"/>
  <c r="N22" i="18" s="1"/>
  <c r="J20" i="18"/>
  <c r="J22" i="18" s="1"/>
  <c r="F20" i="18"/>
  <c r="F22" i="18" s="1"/>
  <c r="I20" i="18"/>
  <c r="I22" i="18" s="1"/>
  <c r="P14" i="17"/>
  <c r="P28" i="17" s="1"/>
  <c r="L14" i="17"/>
  <c r="L28" i="17" s="1"/>
  <c r="F14" i="17"/>
  <c r="M14" i="17"/>
  <c r="I14" i="17"/>
  <c r="I28" i="17" s="1"/>
  <c r="E14" i="17"/>
  <c r="E28" i="17" s="1"/>
  <c r="N14" i="17"/>
  <c r="J14" i="17"/>
  <c r="Q18" i="17"/>
  <c r="Q22" i="17"/>
  <c r="O14" i="17"/>
  <c r="K14" i="17"/>
  <c r="G14" i="17"/>
  <c r="G28" i="17" s="1"/>
  <c r="Q7" i="17"/>
  <c r="Q13" i="17"/>
  <c r="Q23" i="17"/>
  <c r="N24" i="17"/>
  <c r="N29" i="17" s="1"/>
  <c r="F24" i="17"/>
  <c r="F29" i="17" s="1"/>
  <c r="I24" i="17"/>
  <c r="I29" i="17" s="1"/>
  <c r="L24" i="17"/>
  <c r="L29" i="17" s="1"/>
  <c r="G24" i="17"/>
  <c r="G29" i="17" s="1"/>
  <c r="Q8" i="17"/>
  <c r="Q6" i="17"/>
  <c r="Q19" i="17"/>
  <c r="Q21" i="17"/>
  <c r="J24" i="17"/>
  <c r="J29" i="17" s="1"/>
  <c r="M24" i="17"/>
  <c r="M29" i="17" s="1"/>
  <c r="P24" i="17"/>
  <c r="P29" i="17" s="1"/>
  <c r="H24" i="17"/>
  <c r="H29" i="17" s="1"/>
  <c r="O24" i="17"/>
  <c r="O29" i="17" s="1"/>
  <c r="K24" i="17"/>
  <c r="K29" i="17" s="1"/>
  <c r="Q5" i="17"/>
  <c r="Q20" i="17"/>
  <c r="Q4" i="17"/>
  <c r="Q12" i="17"/>
  <c r="Q17" i="17"/>
  <c r="Q11" i="17"/>
  <c r="E24" i="17"/>
  <c r="E29" i="17" s="1"/>
  <c r="H14" i="17"/>
  <c r="H28" i="17" s="1"/>
  <c r="J40" i="3"/>
  <c r="I40" i="3"/>
  <c r="H21" i="18" l="1"/>
  <c r="H22" i="18" s="1"/>
  <c r="K28" i="17"/>
  <c r="K30" i="17" s="1"/>
  <c r="J28" i="17"/>
  <c r="J30" i="17" s="1"/>
  <c r="M28" i="17"/>
  <c r="M30" i="17" s="1"/>
  <c r="O28" i="17"/>
  <c r="O30" i="17" s="1"/>
  <c r="N28" i="17"/>
  <c r="N30" i="17" s="1"/>
  <c r="F28" i="17"/>
  <c r="F30" i="17" s="1"/>
  <c r="L40" i="3"/>
  <c r="Q22" i="18"/>
  <c r="Q14" i="17"/>
  <c r="H30" i="17"/>
  <c r="E30" i="17"/>
  <c r="L30" i="17"/>
  <c r="G30" i="17"/>
  <c r="I30" i="17"/>
  <c r="P30" i="17"/>
  <c r="Q24" i="17"/>
  <c r="Q29" i="17" s="1"/>
  <c r="Q43" i="13"/>
  <c r="F62" i="13"/>
  <c r="G62" i="13"/>
  <c r="H62" i="13"/>
  <c r="I62" i="13"/>
  <c r="J62" i="13"/>
  <c r="K62" i="13"/>
  <c r="L62" i="13"/>
  <c r="M62" i="13"/>
  <c r="N62" i="13"/>
  <c r="O62" i="13"/>
  <c r="P62" i="13"/>
  <c r="E62" i="13"/>
  <c r="Q47" i="13"/>
  <c r="Q46" i="13"/>
  <c r="Q42" i="13"/>
  <c r="Q41" i="13"/>
  <c r="F63" i="13"/>
  <c r="G63" i="13"/>
  <c r="H63" i="13"/>
  <c r="I63" i="13"/>
  <c r="J63" i="13"/>
  <c r="K63" i="13"/>
  <c r="L63" i="13"/>
  <c r="M63" i="13"/>
  <c r="N63" i="13"/>
  <c r="O63" i="13"/>
  <c r="P63" i="13"/>
  <c r="E63" i="13"/>
  <c r="F60" i="13"/>
  <c r="G60" i="13"/>
  <c r="H60" i="13"/>
  <c r="I60" i="13"/>
  <c r="J60" i="13"/>
  <c r="K60" i="13"/>
  <c r="L60" i="13"/>
  <c r="M60" i="13"/>
  <c r="N60" i="13"/>
  <c r="O60" i="13"/>
  <c r="P60" i="13"/>
  <c r="E60" i="13"/>
  <c r="F59" i="13"/>
  <c r="G59" i="13"/>
  <c r="H59" i="13"/>
  <c r="I59" i="13"/>
  <c r="J59" i="13"/>
  <c r="K59" i="13"/>
  <c r="L59" i="13"/>
  <c r="M59" i="13"/>
  <c r="N59" i="13"/>
  <c r="O59" i="13"/>
  <c r="P59" i="13"/>
  <c r="E59" i="13"/>
  <c r="F57" i="13"/>
  <c r="G57" i="13"/>
  <c r="H57" i="13"/>
  <c r="I57" i="13"/>
  <c r="J57" i="13"/>
  <c r="K57" i="13"/>
  <c r="L57" i="13"/>
  <c r="M57" i="13"/>
  <c r="N57" i="13"/>
  <c r="O57" i="13"/>
  <c r="P57" i="13"/>
  <c r="E57" i="13"/>
  <c r="F56" i="13"/>
  <c r="G56" i="13"/>
  <c r="H56" i="13"/>
  <c r="I56" i="13"/>
  <c r="J56" i="13"/>
  <c r="K56" i="13"/>
  <c r="L56" i="13"/>
  <c r="M56" i="13"/>
  <c r="N56" i="13"/>
  <c r="O56" i="13"/>
  <c r="P56" i="13"/>
  <c r="E56" i="13"/>
  <c r="Q28" i="17" l="1"/>
  <c r="Q30" i="17" s="1"/>
  <c r="E22" i="13"/>
  <c r="AG3" i="16"/>
  <c r="AG4" i="16"/>
  <c r="AG5" i="16"/>
  <c r="AG6" i="16"/>
  <c r="AG7" i="16"/>
  <c r="AG8" i="16"/>
  <c r="AG9" i="16"/>
  <c r="AG10" i="16"/>
  <c r="AG11" i="16"/>
  <c r="AG12" i="16"/>
  <c r="AG13" i="16"/>
  <c r="AD2" i="16"/>
  <c r="AD3" i="16"/>
  <c r="AD4" i="16"/>
  <c r="AD5" i="16"/>
  <c r="AD6" i="16"/>
  <c r="AD7" i="16"/>
  <c r="AD8" i="16"/>
  <c r="AD9" i="16"/>
  <c r="AD10" i="16"/>
  <c r="AD11" i="16"/>
  <c r="AD12" i="16"/>
  <c r="AD13" i="16"/>
  <c r="AC2" i="16"/>
  <c r="AC3" i="16"/>
  <c r="AC4" i="16"/>
  <c r="AC5" i="16"/>
  <c r="AC6" i="16"/>
  <c r="I50" i="3" s="1"/>
  <c r="I75" i="3" s="1"/>
  <c r="AC7" i="16"/>
  <c r="J50" i="3" s="1"/>
  <c r="J75" i="3" s="1"/>
  <c r="AC8" i="16"/>
  <c r="AC9" i="16"/>
  <c r="AC10" i="16"/>
  <c r="AC11" i="16"/>
  <c r="AC12" i="16"/>
  <c r="AC13" i="16"/>
  <c r="K50" i="3" s="1"/>
  <c r="K75" i="3" s="1"/>
  <c r="AB2" i="16"/>
  <c r="AB3" i="16"/>
  <c r="AB4" i="16"/>
  <c r="AB5" i="16"/>
  <c r="AB6" i="16"/>
  <c r="I47" i="3" s="1"/>
  <c r="AB7" i="16"/>
  <c r="J47" i="3" s="1"/>
  <c r="AB8" i="16"/>
  <c r="AB9" i="16"/>
  <c r="AB10" i="16"/>
  <c r="AB11" i="16"/>
  <c r="AB12" i="16"/>
  <c r="AB13" i="16"/>
  <c r="K47" i="3" s="1"/>
  <c r="AA2" i="16"/>
  <c r="AA3" i="16"/>
  <c r="AA4" i="16"/>
  <c r="AA5" i="16"/>
  <c r="AA6" i="16"/>
  <c r="I46" i="3" s="1"/>
  <c r="AA7" i="16"/>
  <c r="J46" i="3" s="1"/>
  <c r="AA8" i="16"/>
  <c r="AA9" i="16"/>
  <c r="AA10" i="16"/>
  <c r="AA11" i="16"/>
  <c r="AA12" i="16"/>
  <c r="AA13" i="16"/>
  <c r="K46" i="3" s="1"/>
  <c r="Z2" i="16"/>
  <c r="Z3" i="16"/>
  <c r="Z4" i="16"/>
  <c r="Z5" i="16"/>
  <c r="Z6" i="16"/>
  <c r="I45" i="3" s="1"/>
  <c r="Z7" i="16"/>
  <c r="J45" i="3" s="1"/>
  <c r="Z8" i="16"/>
  <c r="Z9" i="16"/>
  <c r="Z10" i="16"/>
  <c r="Z11" i="16"/>
  <c r="Z12" i="16"/>
  <c r="Z13" i="16"/>
  <c r="K45" i="3" s="1"/>
  <c r="W2" i="16"/>
  <c r="W3" i="16"/>
  <c r="W4" i="16"/>
  <c r="W5" i="16"/>
  <c r="W6" i="16"/>
  <c r="I38" i="3" s="1"/>
  <c r="W7" i="16"/>
  <c r="J38" i="3" s="1"/>
  <c r="W8" i="16"/>
  <c r="W9" i="16"/>
  <c r="W10" i="16"/>
  <c r="W11" i="16"/>
  <c r="W12" i="16"/>
  <c r="W13" i="16"/>
  <c r="V2" i="16"/>
  <c r="V3" i="16"/>
  <c r="V4" i="16"/>
  <c r="V5" i="16"/>
  <c r="V6" i="16"/>
  <c r="I37" i="3" s="1"/>
  <c r="V7" i="16"/>
  <c r="J37" i="3" s="1"/>
  <c r="V8" i="16"/>
  <c r="V9" i="16"/>
  <c r="V10" i="16"/>
  <c r="V11" i="16"/>
  <c r="V12" i="16"/>
  <c r="V13" i="16"/>
  <c r="U2" i="16"/>
  <c r="U3" i="16"/>
  <c r="U4" i="16"/>
  <c r="U5" i="16"/>
  <c r="U6" i="16"/>
  <c r="I36" i="3" s="1"/>
  <c r="U7" i="16"/>
  <c r="J36" i="3" s="1"/>
  <c r="U8" i="16"/>
  <c r="U9" i="16"/>
  <c r="U10" i="16"/>
  <c r="U11" i="16"/>
  <c r="U12" i="16"/>
  <c r="U13" i="16"/>
  <c r="T2" i="16"/>
  <c r="T3" i="16"/>
  <c r="T4" i="16"/>
  <c r="T5" i="16"/>
  <c r="T6" i="16"/>
  <c r="I35" i="3" s="1"/>
  <c r="T7" i="16"/>
  <c r="J35" i="3" s="1"/>
  <c r="T8" i="16"/>
  <c r="T9" i="16"/>
  <c r="T10" i="16"/>
  <c r="T11" i="16"/>
  <c r="T12" i="16"/>
  <c r="T13" i="16"/>
  <c r="S2" i="16"/>
  <c r="S3" i="16"/>
  <c r="S4" i="16"/>
  <c r="S5" i="16"/>
  <c r="S6" i="16"/>
  <c r="I34" i="3" s="1"/>
  <c r="S7" i="16"/>
  <c r="J34" i="3" s="1"/>
  <c r="S8" i="16"/>
  <c r="S9" i="16"/>
  <c r="S10" i="16"/>
  <c r="S11" i="16"/>
  <c r="S12" i="16"/>
  <c r="S13" i="16"/>
  <c r="R2" i="16"/>
  <c r="R3" i="16"/>
  <c r="R4" i="16"/>
  <c r="R5" i="16"/>
  <c r="R6" i="16"/>
  <c r="I33" i="3" s="1"/>
  <c r="R7" i="16"/>
  <c r="J33" i="3" s="1"/>
  <c r="R8" i="16"/>
  <c r="R9" i="16"/>
  <c r="R10" i="16"/>
  <c r="R11" i="16"/>
  <c r="R12" i="16"/>
  <c r="R13" i="16"/>
  <c r="Q2" i="16"/>
  <c r="Q3" i="16"/>
  <c r="Q4" i="16"/>
  <c r="Q5" i="16"/>
  <c r="Q6" i="16"/>
  <c r="I32" i="3" s="1"/>
  <c r="Q7" i="16"/>
  <c r="J32" i="3" s="1"/>
  <c r="Q8" i="16"/>
  <c r="Q9" i="16"/>
  <c r="Q10" i="16"/>
  <c r="Q11" i="16"/>
  <c r="Q12" i="16"/>
  <c r="Q13" i="16"/>
  <c r="P2" i="16"/>
  <c r="P3" i="16"/>
  <c r="P4" i="16"/>
  <c r="P5" i="16"/>
  <c r="P6" i="16"/>
  <c r="I31" i="3" s="1"/>
  <c r="P7" i="16"/>
  <c r="J31" i="3" s="1"/>
  <c r="P8" i="16"/>
  <c r="P9" i="16"/>
  <c r="P10" i="16"/>
  <c r="P11" i="16"/>
  <c r="P12" i="16"/>
  <c r="P13" i="16"/>
  <c r="O2" i="16"/>
  <c r="O3" i="16"/>
  <c r="O4" i="16"/>
  <c r="O5" i="16"/>
  <c r="O6" i="16"/>
  <c r="I30" i="3" s="1"/>
  <c r="O7" i="16"/>
  <c r="J30" i="3" s="1"/>
  <c r="O8" i="16"/>
  <c r="O9" i="16"/>
  <c r="O10" i="16"/>
  <c r="O11" i="16"/>
  <c r="O12" i="16"/>
  <c r="O13" i="16"/>
  <c r="N2" i="16"/>
  <c r="N3" i="16"/>
  <c r="N4" i="16"/>
  <c r="N5" i="16"/>
  <c r="N6" i="16"/>
  <c r="I29" i="3" s="1"/>
  <c r="I69" i="3" s="1"/>
  <c r="N7" i="16"/>
  <c r="J29" i="3" s="1"/>
  <c r="J69" i="3" s="1"/>
  <c r="N8" i="16"/>
  <c r="N9" i="16"/>
  <c r="N10" i="16"/>
  <c r="N11" i="16"/>
  <c r="N12" i="16"/>
  <c r="N13" i="16"/>
  <c r="M2" i="16"/>
  <c r="M3" i="16"/>
  <c r="M4" i="16"/>
  <c r="M5" i="16"/>
  <c r="M6" i="16"/>
  <c r="I25" i="3" s="1"/>
  <c r="M7" i="16"/>
  <c r="J25" i="3" s="1"/>
  <c r="M8" i="16"/>
  <c r="M9" i="16"/>
  <c r="M10" i="16"/>
  <c r="M11" i="16"/>
  <c r="M12" i="16"/>
  <c r="M13" i="16"/>
  <c r="L6" i="16"/>
  <c r="I23" i="3" s="1"/>
  <c r="L2" i="16"/>
  <c r="L3" i="16"/>
  <c r="L4" i="16"/>
  <c r="L5" i="16"/>
  <c r="L7" i="16"/>
  <c r="J23" i="3" s="1"/>
  <c r="L8" i="16"/>
  <c r="L9" i="16"/>
  <c r="L10" i="16"/>
  <c r="L11" i="16"/>
  <c r="L12" i="16"/>
  <c r="L13" i="16"/>
  <c r="K2" i="16"/>
  <c r="K3" i="16"/>
  <c r="K4" i="16"/>
  <c r="K5" i="16"/>
  <c r="K6" i="16"/>
  <c r="I22" i="3" s="1"/>
  <c r="K7" i="16"/>
  <c r="J22" i="3" s="1"/>
  <c r="K8" i="16"/>
  <c r="K9" i="16"/>
  <c r="K10" i="16"/>
  <c r="K11" i="16"/>
  <c r="K12" i="16"/>
  <c r="K13" i="16"/>
  <c r="J2" i="16"/>
  <c r="J3" i="16"/>
  <c r="J4" i="16"/>
  <c r="J5" i="16"/>
  <c r="J6" i="16"/>
  <c r="I19" i="3" s="1"/>
  <c r="J7" i="16"/>
  <c r="J19" i="3" s="1"/>
  <c r="J8" i="16"/>
  <c r="J9" i="16"/>
  <c r="J10" i="16"/>
  <c r="J11" i="16"/>
  <c r="J12" i="16"/>
  <c r="J13" i="16"/>
  <c r="I2" i="16"/>
  <c r="I3" i="16"/>
  <c r="I4" i="16"/>
  <c r="I5" i="16"/>
  <c r="I6" i="16"/>
  <c r="I18" i="3" s="1"/>
  <c r="I7" i="16"/>
  <c r="J18" i="3" s="1"/>
  <c r="I8" i="16"/>
  <c r="I9" i="16"/>
  <c r="I10" i="16"/>
  <c r="I11" i="16"/>
  <c r="I12" i="16"/>
  <c r="I13" i="16"/>
  <c r="H13" i="16"/>
  <c r="H12" i="16"/>
  <c r="H11" i="16"/>
  <c r="H10" i="16"/>
  <c r="H9" i="16"/>
  <c r="H8" i="16"/>
  <c r="K16" i="3" s="1"/>
  <c r="H7" i="16"/>
  <c r="J16" i="3" s="1"/>
  <c r="H6" i="16"/>
  <c r="I16" i="3" s="1"/>
  <c r="H5" i="16"/>
  <c r="H4" i="16"/>
  <c r="H3" i="16"/>
  <c r="H2" i="16"/>
  <c r="G3" i="16"/>
  <c r="G13" i="16"/>
  <c r="G12" i="16"/>
  <c r="G11" i="16"/>
  <c r="G10" i="16"/>
  <c r="G9" i="16"/>
  <c r="G8" i="16"/>
  <c r="G7" i="16"/>
  <c r="J15" i="3" s="1"/>
  <c r="G6" i="16"/>
  <c r="I15" i="3" s="1"/>
  <c r="G5" i="16"/>
  <c r="G4" i="16"/>
  <c r="G2" i="16"/>
  <c r="F13" i="16"/>
  <c r="F12" i="16"/>
  <c r="F11" i="16"/>
  <c r="F10" i="16"/>
  <c r="F9" i="16"/>
  <c r="F8" i="16"/>
  <c r="K13" i="3" s="1"/>
  <c r="F7" i="16"/>
  <c r="J13" i="3" s="1"/>
  <c r="F6" i="16"/>
  <c r="I13" i="3" s="1"/>
  <c r="F5" i="16"/>
  <c r="F4" i="16"/>
  <c r="F3" i="16"/>
  <c r="F2" i="16"/>
  <c r="E13" i="16"/>
  <c r="E12" i="16"/>
  <c r="E11" i="16"/>
  <c r="E10" i="16"/>
  <c r="E9" i="16"/>
  <c r="E8" i="16"/>
  <c r="K12" i="3" s="1"/>
  <c r="E7" i="16"/>
  <c r="J12" i="3" s="1"/>
  <c r="E6" i="16"/>
  <c r="I12" i="3" s="1"/>
  <c r="E5" i="16"/>
  <c r="E4" i="16"/>
  <c r="E3" i="16"/>
  <c r="E2" i="16"/>
  <c r="D13" i="16"/>
  <c r="D12" i="16"/>
  <c r="D11" i="16"/>
  <c r="D10" i="16"/>
  <c r="D9" i="16"/>
  <c r="D8" i="16"/>
  <c r="K11" i="3" s="1"/>
  <c r="D7" i="16"/>
  <c r="J11" i="3" s="1"/>
  <c r="D6" i="16"/>
  <c r="I11" i="3" s="1"/>
  <c r="D5" i="16"/>
  <c r="D4" i="16"/>
  <c r="D3" i="16"/>
  <c r="D2" i="16"/>
  <c r="C13" i="16"/>
  <c r="C12" i="16"/>
  <c r="C11" i="16"/>
  <c r="C10" i="16"/>
  <c r="C9" i="16"/>
  <c r="C8" i="16"/>
  <c r="K10" i="3" s="1"/>
  <c r="C7" i="16"/>
  <c r="J10" i="3" s="1"/>
  <c r="C6" i="16"/>
  <c r="I10" i="3" s="1"/>
  <c r="C5" i="16"/>
  <c r="C4" i="16"/>
  <c r="C3" i="16"/>
  <c r="C2" i="16"/>
  <c r="B3" i="16"/>
  <c r="B13" i="16"/>
  <c r="B12" i="16"/>
  <c r="B11" i="16"/>
  <c r="B10" i="16"/>
  <c r="B9" i="16"/>
  <c r="B8" i="16"/>
  <c r="B7" i="16"/>
  <c r="J9" i="3" s="1"/>
  <c r="B6" i="16"/>
  <c r="I9" i="3" s="1"/>
  <c r="B5" i="16"/>
  <c r="B4" i="16"/>
  <c r="B2" i="16"/>
  <c r="A52" i="13"/>
  <c r="A60" i="3"/>
  <c r="Q51" i="13"/>
  <c r="P37" i="13"/>
  <c r="N37" i="13"/>
  <c r="P22" i="13"/>
  <c r="N22" i="13"/>
  <c r="O37" i="13"/>
  <c r="M37" i="13"/>
  <c r="O22" i="13"/>
  <c r="M22" i="13"/>
  <c r="I68" i="3" l="1"/>
  <c r="K9" i="3"/>
  <c r="L9" i="3" s="1"/>
  <c r="K15" i="3"/>
  <c r="L15" i="3" s="1"/>
  <c r="K18" i="3"/>
  <c r="L18" i="3" s="1"/>
  <c r="K19" i="3"/>
  <c r="K71" i="3" s="1"/>
  <c r="K22" i="3"/>
  <c r="L22" i="3" s="1"/>
  <c r="K23" i="3"/>
  <c r="L23" i="3" s="1"/>
  <c r="K25" i="3"/>
  <c r="L25" i="3" s="1"/>
  <c r="K29" i="3"/>
  <c r="K30" i="3"/>
  <c r="K31" i="3"/>
  <c r="K32" i="3"/>
  <c r="K33" i="3"/>
  <c r="K34" i="3"/>
  <c r="K35" i="3"/>
  <c r="K36" i="3"/>
  <c r="K37" i="3"/>
  <c r="K38" i="3"/>
  <c r="L46" i="3"/>
  <c r="L47" i="3"/>
  <c r="L50" i="3"/>
  <c r="L51" i="3"/>
  <c r="J74" i="3"/>
  <c r="L45" i="3"/>
  <c r="J68" i="3"/>
  <c r="L13" i="3"/>
  <c r="L11" i="3"/>
  <c r="J72" i="3"/>
  <c r="J71" i="3"/>
  <c r="I71" i="3"/>
  <c r="I26" i="3"/>
  <c r="I72" i="3"/>
  <c r="L10" i="3"/>
  <c r="L16" i="3"/>
  <c r="L12" i="3"/>
  <c r="L37" i="13"/>
  <c r="L22" i="13"/>
  <c r="L48" i="3" l="1"/>
  <c r="K69" i="3"/>
  <c r="K68" i="3"/>
  <c r="L29" i="3"/>
  <c r="L19" i="3"/>
  <c r="L26" i="3" s="1"/>
  <c r="K72" i="3"/>
  <c r="I74" i="3"/>
  <c r="K74" i="3"/>
  <c r="K37" i="13"/>
  <c r="K22" i="13"/>
  <c r="H37" i="13" l="1"/>
  <c r="I37" i="13"/>
  <c r="J37" i="13"/>
  <c r="H22" i="13"/>
  <c r="I22" i="13"/>
  <c r="J22" i="13"/>
  <c r="G37" i="13"/>
  <c r="G22" i="13"/>
  <c r="F37" i="13"/>
  <c r="E37" i="13"/>
  <c r="Q36" i="13"/>
  <c r="Q37" i="13" s="1"/>
  <c r="Q34" i="13"/>
  <c r="Q33" i="13"/>
  <c r="Q32" i="13"/>
  <c r="Q31" i="13"/>
  <c r="Q30" i="13"/>
  <c r="Q29" i="13"/>
  <c r="Q28" i="13"/>
  <c r="Q27" i="13"/>
  <c r="Q26" i="13"/>
  <c r="Q25" i="13"/>
  <c r="F22" i="13"/>
  <c r="Q21" i="13"/>
  <c r="Q19" i="13"/>
  <c r="Q18" i="13"/>
  <c r="Q15" i="13"/>
  <c r="Q14" i="13"/>
  <c r="Q12" i="13"/>
  <c r="Q11" i="13"/>
  <c r="Q9" i="13"/>
  <c r="Q8" i="13"/>
  <c r="Q7" i="13"/>
  <c r="Q6" i="13"/>
  <c r="Q5" i="13"/>
  <c r="Q44" i="13" l="1"/>
  <c r="Q22" i="13"/>
  <c r="K41" i="3" l="1"/>
  <c r="J41" i="3"/>
  <c r="I41" i="3"/>
  <c r="L39" i="3"/>
  <c r="L38" i="3"/>
  <c r="L37" i="3"/>
  <c r="L36" i="3"/>
  <c r="L35" i="3"/>
  <c r="L34" i="3"/>
  <c r="L33" i="3"/>
  <c r="L32" i="3"/>
  <c r="L31" i="3"/>
  <c r="L30" i="3"/>
  <c r="K26" i="3"/>
  <c r="J26" i="3"/>
  <c r="L41" i="3" l="1"/>
  <c r="L55" i="3"/>
</calcChain>
</file>

<file path=xl/sharedStrings.xml><?xml version="1.0" encoding="utf-8"?>
<sst xmlns="http://schemas.openxmlformats.org/spreadsheetml/2006/main" count="224" uniqueCount="76">
  <si>
    <t>CONSELHO FISCAL DA PREVIDÊNCIA SOCIAL DOS SERVIDORES PÚBLICOS DO MUNICÍPIO  DE FRANCISCO BELTRÃO - PREVBEL</t>
  </si>
  <si>
    <t>PARECER FISCAL</t>
  </si>
  <si>
    <t>Julho</t>
  </si>
  <si>
    <t>Agosto</t>
  </si>
  <si>
    <t>Setembro</t>
  </si>
  <si>
    <t>Parcelamento dos Débitos Previdenciários</t>
  </si>
  <si>
    <t>Patronal</t>
  </si>
  <si>
    <t>Servidor</t>
  </si>
  <si>
    <t>Compensação Previdenciária</t>
  </si>
  <si>
    <t>RECEITAS:</t>
  </si>
  <si>
    <t xml:space="preserve">DESPESAS: </t>
  </si>
  <si>
    <t>Proventos de Inativos - Plano Financeiro</t>
  </si>
  <si>
    <t>Proventos de Inativos - Plano Previdenciário</t>
  </si>
  <si>
    <t>Proventos de Pensão - Plano Financeiro</t>
  </si>
  <si>
    <t>Proventos de Pensão - Plano Previdenciário</t>
  </si>
  <si>
    <t>Salário Família dos Servidores Ativos - Plano Financeiro</t>
  </si>
  <si>
    <t>Salário Família dos Servidores Ativos - Plano Previdenciário</t>
  </si>
  <si>
    <t>Salário Maternidade das Servidoras Ativas - Plano Financiero</t>
  </si>
  <si>
    <t>Salário Maternidade das Servidoras Ativas - Plano Previdenciário</t>
  </si>
  <si>
    <t>Auxílio Doença dos Servidores Ativos - Plano Financeiro</t>
  </si>
  <si>
    <t>Auxílio Doença dos Servidores Ativos - Plano Previdenciário</t>
  </si>
  <si>
    <t>SALDO DAS APLICAÇÕES FINANCEIRAS</t>
  </si>
  <si>
    <t>Plano Previdenciário</t>
  </si>
  <si>
    <t>187-9</t>
  </si>
  <si>
    <t>330-8</t>
  </si>
  <si>
    <t>327-8</t>
  </si>
  <si>
    <t>48828-3</t>
  </si>
  <si>
    <t>TOTAL</t>
  </si>
  <si>
    <t xml:space="preserve">         Verificamos que as aplicações estão de acordo com a Resolução CMN nº 3922/2010 de 25/11/2010 e suas alterações, bem como a contabilização está em conformidade com a legislação vigente.</t>
  </si>
  <si>
    <t>Outubro</t>
  </si>
  <si>
    <t>Novembro</t>
  </si>
  <si>
    <t>Dezembro</t>
  </si>
  <si>
    <t>Disponibilidade Financeira</t>
  </si>
  <si>
    <t xml:space="preserve">Rendimento das Aplicações Financeiras - Plano Financeiro </t>
  </si>
  <si>
    <t xml:space="preserve">Rendimento das Aplicações Financeiras - Plano Previdenciário </t>
  </si>
  <si>
    <t>Plano Financeiro                                                                                                                             Saldo Atual</t>
  </si>
  <si>
    <t>Abril</t>
  </si>
  <si>
    <t>Maio</t>
  </si>
  <si>
    <t>Junho</t>
  </si>
  <si>
    <t xml:space="preserve">Compensação Previdenciária </t>
  </si>
  <si>
    <t xml:space="preserve">Contribuição Patronal dos Servidores Ativos - Plano Previdenciário </t>
  </si>
  <si>
    <t>Janeiro</t>
  </si>
  <si>
    <t>Fevereiro</t>
  </si>
  <si>
    <t>Março</t>
  </si>
  <si>
    <t>Contribuição dos Servidores Inativos  - Plano Financeiro</t>
  </si>
  <si>
    <t>Contribuição dos Servidores Inativos  - Plano Previdenciário</t>
  </si>
  <si>
    <t>Contribuição dos Pensionistas - Plano Financeiro</t>
  </si>
  <si>
    <t>Conselho Fiscal do PREVBEL:</t>
  </si>
  <si>
    <t>contrib. Serv. Financeiro</t>
  </si>
  <si>
    <t>Folha financeiro</t>
  </si>
  <si>
    <t>Contribuição dos Servidores Ativos - Plano Previdenciário</t>
  </si>
  <si>
    <t xml:space="preserve">        Adriana Fernandes Lise                                 Julia Mara Baldissera Zonta                                      Thiago Luiz Fabrin </t>
  </si>
  <si>
    <t>Contribuição dos Servidores Ativos - Plano Financeiro</t>
  </si>
  <si>
    <t>Contribuição Patronal dos Servidores Ativos - Plano Financeiro</t>
  </si>
  <si>
    <t>Parcelamento Patronal</t>
  </si>
  <si>
    <t>Parcelamento Servidor</t>
  </si>
  <si>
    <t>Mês</t>
  </si>
  <si>
    <t>Receitas Plano Financeiro</t>
  </si>
  <si>
    <t>Despesas Plano Financeiro</t>
  </si>
  <si>
    <t>Receitas Previdenciario</t>
  </si>
  <si>
    <t>Despesas Previdenciario</t>
  </si>
  <si>
    <t>Despesas Previdenciário</t>
  </si>
  <si>
    <t>Receitas Previdenciário</t>
  </si>
  <si>
    <t>Receitas Financeiro</t>
  </si>
  <si>
    <t>Despesas Financeiro</t>
  </si>
  <si>
    <t>Aplicação Financeiro</t>
  </si>
  <si>
    <t>Aplicação Previdenciario</t>
  </si>
  <si>
    <t>Aplicação Finaceiro</t>
  </si>
  <si>
    <t>Restituição Precatório  0002016-62.2017.8.16.7000</t>
  </si>
  <si>
    <t>Restituição Precatório</t>
  </si>
  <si>
    <t>RESUMO</t>
  </si>
  <si>
    <t>RECEITAS..........................................................................................</t>
  </si>
  <si>
    <t>DESPESAS..............................................................................................</t>
  </si>
  <si>
    <t>SALDO...............................................................................................</t>
  </si>
  <si>
    <t>RESUMO DE RECEITAS E DESPESAS - PLANO FINANCEIRO - ANO 2019</t>
  </si>
  <si>
    <t>RESUMO DE RECEITAS E DESPESAS - PLANO PREVIDENCIÁRIO -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</si>
</sst>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#,##0.00_ ;\-#,##0.00\ "/>
    <numFmt numFmtId="165" formatCode="&quot;Francisco Beltrão, &quot;dd&quot; de &quot;mmmm&quot; de &quot;yyyy&quot;.&quot;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44" fontId="3" fillId="0" borderId="0" xfId="1" applyFont="1"/>
    <xf numFmtId="0" fontId="5" fillId="0" borderId="0" xfId="0" applyFont="1"/>
    <xf numFmtId="164" fontId="3" fillId="0" borderId="0" xfId="1" applyNumberFormat="1" applyFont="1"/>
    <xf numFmtId="164" fontId="3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/>
    <xf numFmtId="164" fontId="4" fillId="0" borderId="11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right"/>
    </xf>
    <xf numFmtId="164" fontId="10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left" wrapText="1"/>
    </xf>
    <xf numFmtId="4" fontId="3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0" fontId="10" fillId="0" borderId="3" xfId="0" applyFont="1" applyBorder="1" applyAlignment="1">
      <alignment horizontal="left"/>
    </xf>
    <xf numFmtId="164" fontId="10" fillId="0" borderId="3" xfId="1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4" fontId="10" fillId="0" borderId="0" xfId="1" applyNumberFormat="1" applyFont="1" applyBorder="1" applyAlignment="1">
      <alignment horizontal="right"/>
    </xf>
    <xf numFmtId="164" fontId="10" fillId="0" borderId="6" xfId="1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0" fillId="0" borderId="12" xfId="1" applyNumberFormat="1" applyFont="1" applyBorder="1" applyAlignment="1">
      <alignment horizontal="right"/>
    </xf>
    <xf numFmtId="164" fontId="8" fillId="0" borderId="11" xfId="1" applyNumberFormat="1" applyFont="1" applyBorder="1" applyAlignment="1">
      <alignment horizontal="right"/>
    </xf>
    <xf numFmtId="164" fontId="8" fillId="0" borderId="3" xfId="1" applyNumberFormat="1" applyFont="1" applyBorder="1" applyAlignment="1">
      <alignment horizontal="right"/>
    </xf>
    <xf numFmtId="164" fontId="8" fillId="0" borderId="13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5" fontId="8" fillId="0" borderId="3" xfId="0" applyNumberFormat="1" applyFont="1" applyBorder="1" applyAlignment="1">
      <alignment horizontal="right"/>
    </xf>
    <xf numFmtId="0" fontId="8" fillId="0" borderId="1" xfId="0" applyFont="1" applyBorder="1"/>
    <xf numFmtId="0" fontId="10" fillId="0" borderId="1" xfId="0" applyFont="1" applyBorder="1" applyAlignment="1">
      <alignment horizontal="left" vertical="center"/>
    </xf>
    <xf numFmtId="44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justify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Plano Financeiro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Receitas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Geral!$E$56:$P$56</c:f>
              <c:numCache>
                <c:formatCode>#,##0.00_ ;\-#,##0.00\ </c:formatCode>
                <c:ptCount val="12"/>
                <c:pt idx="0">
                  <c:v>1133556.99</c:v>
                </c:pt>
                <c:pt idx="1">
                  <c:v>1065102.25</c:v>
                </c:pt>
                <c:pt idx="2">
                  <c:v>1062653.43</c:v>
                </c:pt>
                <c:pt idx="3">
                  <c:v>507077.53</c:v>
                </c:pt>
                <c:pt idx="4">
                  <c:v>1881427.4</c:v>
                </c:pt>
                <c:pt idx="5">
                  <c:v>1243984.29</c:v>
                </c:pt>
                <c:pt idx="6">
                  <c:v>949735.7</c:v>
                </c:pt>
                <c:pt idx="7">
                  <c:v>1137239.72</c:v>
                </c:pt>
                <c:pt idx="8">
                  <c:v>1153516.17</c:v>
                </c:pt>
                <c:pt idx="9">
                  <c:v>1102392.3299999998</c:v>
                </c:pt>
                <c:pt idx="10">
                  <c:v>863293.19000000006</c:v>
                </c:pt>
                <c:pt idx="11">
                  <c:v>1561684.1500000004</c:v>
                </c:pt>
              </c:numCache>
            </c:numRef>
          </c:val>
          <c:smooth val="0"/>
        </c:ser>
        <c:ser>
          <c:idx val="1"/>
          <c:order val="1"/>
          <c:tx>
            <c:v>Despesas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Geral!$E$57:$P$57</c:f>
              <c:numCache>
                <c:formatCode>#,##0.00_ ;\-#,##0.00\ </c:formatCode>
                <c:ptCount val="12"/>
                <c:pt idx="0">
                  <c:v>1847254.73</c:v>
                </c:pt>
                <c:pt idx="1">
                  <c:v>1879161.6800000002</c:v>
                </c:pt>
                <c:pt idx="2">
                  <c:v>1897047.09</c:v>
                </c:pt>
                <c:pt idx="3">
                  <c:v>1930107.97</c:v>
                </c:pt>
                <c:pt idx="4">
                  <c:v>1963789.2100000002</c:v>
                </c:pt>
                <c:pt idx="5">
                  <c:v>1980539.3499999999</c:v>
                </c:pt>
                <c:pt idx="6">
                  <c:v>2002483.0899999999</c:v>
                </c:pt>
                <c:pt idx="7">
                  <c:v>2036428.7599999998</c:v>
                </c:pt>
                <c:pt idx="8">
                  <c:v>2064796.3099999998</c:v>
                </c:pt>
                <c:pt idx="9">
                  <c:v>2077085.81</c:v>
                </c:pt>
                <c:pt idx="10">
                  <c:v>2098663.29</c:v>
                </c:pt>
                <c:pt idx="11">
                  <c:v>4336711.0200000005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58080"/>
        <c:axId val="101759616"/>
      </c:lineChart>
      <c:catAx>
        <c:axId val="10175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1759616"/>
        <c:crosses val="autoZero"/>
        <c:auto val="1"/>
        <c:lblAlgn val="ctr"/>
        <c:lblOffset val="100"/>
        <c:noMultiLvlLbl val="0"/>
      </c:catAx>
      <c:valAx>
        <c:axId val="101759616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1758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Plano Previdenciário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Receitas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Geral!$E$59:$P$59</c:f>
              <c:numCache>
                <c:formatCode>#,##0.00_ ;\-#,##0.00\ </c:formatCode>
                <c:ptCount val="12"/>
                <c:pt idx="0">
                  <c:v>1391046.48</c:v>
                </c:pt>
                <c:pt idx="1">
                  <c:v>1374053.3099999998</c:v>
                </c:pt>
                <c:pt idx="2">
                  <c:v>1435989.04</c:v>
                </c:pt>
                <c:pt idx="3">
                  <c:v>410461.34</c:v>
                </c:pt>
                <c:pt idx="4">
                  <c:v>3229024.7699999996</c:v>
                </c:pt>
                <c:pt idx="5">
                  <c:v>2708062.87</c:v>
                </c:pt>
                <c:pt idx="6">
                  <c:v>1990398.2200000002</c:v>
                </c:pt>
                <c:pt idx="7">
                  <c:v>1264612.9099999999</c:v>
                </c:pt>
                <c:pt idx="8">
                  <c:v>2259159.4700000002</c:v>
                </c:pt>
                <c:pt idx="9">
                  <c:v>2871728.6</c:v>
                </c:pt>
                <c:pt idx="10">
                  <c:v>1240037.2000000002</c:v>
                </c:pt>
                <c:pt idx="11">
                  <c:v>2977572.7199999997</c:v>
                </c:pt>
              </c:numCache>
            </c:numRef>
          </c:val>
          <c:smooth val="0"/>
        </c:ser>
        <c:ser>
          <c:idx val="1"/>
          <c:order val="1"/>
          <c:tx>
            <c:v>Despesas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Geral!$E$60:$P$60</c:f>
              <c:numCache>
                <c:formatCode>#,##0.00_ ;\-#,##0.00\ </c:formatCode>
                <c:ptCount val="12"/>
                <c:pt idx="0">
                  <c:v>106547.58</c:v>
                </c:pt>
                <c:pt idx="1">
                  <c:v>125345.16</c:v>
                </c:pt>
                <c:pt idx="2">
                  <c:v>159769.65</c:v>
                </c:pt>
                <c:pt idx="3">
                  <c:v>24150.93</c:v>
                </c:pt>
                <c:pt idx="4">
                  <c:v>281993.19999999995</c:v>
                </c:pt>
                <c:pt idx="5">
                  <c:v>176010.99</c:v>
                </c:pt>
                <c:pt idx="6">
                  <c:v>154256.19</c:v>
                </c:pt>
                <c:pt idx="7">
                  <c:v>143425.51</c:v>
                </c:pt>
                <c:pt idx="8">
                  <c:v>142133.83000000002</c:v>
                </c:pt>
                <c:pt idx="9">
                  <c:v>144766.86000000002</c:v>
                </c:pt>
                <c:pt idx="10">
                  <c:v>132129.81</c:v>
                </c:pt>
                <c:pt idx="11">
                  <c:v>166482.09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91584"/>
        <c:axId val="103122048"/>
      </c:lineChart>
      <c:catAx>
        <c:axId val="103091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3122048"/>
        <c:crosses val="autoZero"/>
        <c:auto val="1"/>
        <c:lblAlgn val="ctr"/>
        <c:lblOffset val="100"/>
        <c:noMultiLvlLbl val="0"/>
      </c:catAx>
      <c:valAx>
        <c:axId val="103122048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3091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Geral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Receitas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Geral!$E$22:$P$22</c:f>
              <c:numCache>
                <c:formatCode>#,##0.00_ ;\-#,##0.00\ </c:formatCode>
                <c:ptCount val="12"/>
                <c:pt idx="0">
                  <c:v>2524603.4700000002</c:v>
                </c:pt>
                <c:pt idx="1">
                  <c:v>2439155.56</c:v>
                </c:pt>
                <c:pt idx="2">
                  <c:v>2498642.4700000002</c:v>
                </c:pt>
                <c:pt idx="3">
                  <c:v>917538.87</c:v>
                </c:pt>
                <c:pt idx="4">
                  <c:v>5110452.17</c:v>
                </c:pt>
                <c:pt idx="5">
                  <c:v>3952047.16</c:v>
                </c:pt>
                <c:pt idx="6">
                  <c:v>2940133.92</c:v>
                </c:pt>
                <c:pt idx="7">
                  <c:v>2401852.63</c:v>
                </c:pt>
                <c:pt idx="8">
                  <c:v>3412675.64</c:v>
                </c:pt>
                <c:pt idx="9">
                  <c:v>3974120.93</c:v>
                </c:pt>
                <c:pt idx="10">
                  <c:v>2103330.39</c:v>
                </c:pt>
                <c:pt idx="11">
                  <c:v>4539256.87</c:v>
                </c:pt>
              </c:numCache>
            </c:numRef>
          </c:val>
          <c:smooth val="0"/>
        </c:ser>
        <c:ser>
          <c:idx val="1"/>
          <c:order val="1"/>
          <c:tx>
            <c:v>Despesas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Geral!$E$37:$P$37</c:f>
              <c:numCache>
                <c:formatCode>#,##0.00_ ;\-#,##0.00\ </c:formatCode>
                <c:ptCount val="12"/>
                <c:pt idx="0">
                  <c:v>2039405.9699999997</c:v>
                </c:pt>
                <c:pt idx="1">
                  <c:v>2082226.33</c:v>
                </c:pt>
                <c:pt idx="2">
                  <c:v>2156464.6399999997</c:v>
                </c:pt>
                <c:pt idx="3">
                  <c:v>1963483.72</c:v>
                </c:pt>
                <c:pt idx="4">
                  <c:v>2427123.66</c:v>
                </c:pt>
                <c:pt idx="5">
                  <c:v>2244870.71</c:v>
                </c:pt>
                <c:pt idx="6">
                  <c:v>2233501.4</c:v>
                </c:pt>
                <c:pt idx="7">
                  <c:v>2261764.9299999997</c:v>
                </c:pt>
                <c:pt idx="8">
                  <c:v>2296519.3999999994</c:v>
                </c:pt>
                <c:pt idx="9">
                  <c:v>2317817.64</c:v>
                </c:pt>
                <c:pt idx="10">
                  <c:v>2335190.42</c:v>
                </c:pt>
                <c:pt idx="11">
                  <c:v>4604177.629999999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7392"/>
        <c:axId val="103148928"/>
      </c:lineChart>
      <c:catAx>
        <c:axId val="103147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3148928"/>
        <c:crosses val="autoZero"/>
        <c:auto val="1"/>
        <c:lblAlgn val="ctr"/>
        <c:lblOffset val="100"/>
        <c:noMultiLvlLbl val="0"/>
      </c:catAx>
      <c:valAx>
        <c:axId val="103148928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31473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Aplicação Financeira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Plano Financeiro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Geral!$E$62:$P$62</c:f>
              <c:numCache>
                <c:formatCode>#,##0.00_ ;\-#,##0.00\ </c:formatCode>
                <c:ptCount val="12"/>
                <c:pt idx="0">
                  <c:v>23186781.509999998</c:v>
                </c:pt>
                <c:pt idx="1">
                  <c:v>22294751</c:v>
                </c:pt>
                <c:pt idx="2">
                  <c:v>21348855.869999997</c:v>
                </c:pt>
                <c:pt idx="3">
                  <c:v>19919996.370000001</c:v>
                </c:pt>
                <c:pt idx="4">
                  <c:v>19656293.310000002</c:v>
                </c:pt>
                <c:pt idx="5">
                  <c:v>18842029.390000001</c:v>
                </c:pt>
                <c:pt idx="6">
                  <c:v>17701908.370000001</c:v>
                </c:pt>
                <c:pt idx="7">
                  <c:v>16689948</c:v>
                </c:pt>
                <c:pt idx="8">
                  <c:v>15689078.6</c:v>
                </c:pt>
                <c:pt idx="9">
                  <c:v>14618420.15</c:v>
                </c:pt>
                <c:pt idx="10">
                  <c:v>13149706.679999998</c:v>
                </c:pt>
                <c:pt idx="11">
                  <c:v>10323695.289999999</c:v>
                </c:pt>
              </c:numCache>
            </c:numRef>
          </c:val>
          <c:smooth val="0"/>
        </c:ser>
        <c:ser>
          <c:idx val="1"/>
          <c:order val="1"/>
          <c:tx>
            <c:v>Plano Previdenciário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Geral!$E$3:$P$4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Geral!$E$63:$P$63</c:f>
              <c:numCache>
                <c:formatCode>#,##0.00_ ;\-#,##0.00\ </c:formatCode>
                <c:ptCount val="12"/>
                <c:pt idx="0">
                  <c:v>69653342.629999995</c:v>
                </c:pt>
                <c:pt idx="1">
                  <c:v>70902302.370000005</c:v>
                </c:pt>
                <c:pt idx="2">
                  <c:v>72178521.760000005</c:v>
                </c:pt>
                <c:pt idx="3">
                  <c:v>72561436.409999996</c:v>
                </c:pt>
                <c:pt idx="4">
                  <c:v>75508467.980000004</c:v>
                </c:pt>
                <c:pt idx="5">
                  <c:v>78040519.859999999</c:v>
                </c:pt>
                <c:pt idx="6">
                  <c:v>79876661.890000001</c:v>
                </c:pt>
                <c:pt idx="7">
                  <c:v>80848882.340000004</c:v>
                </c:pt>
                <c:pt idx="8">
                  <c:v>82965907.980000004</c:v>
                </c:pt>
                <c:pt idx="9">
                  <c:v>85680027.299999997</c:v>
                </c:pt>
                <c:pt idx="10">
                  <c:v>86180997.359999999</c:v>
                </c:pt>
                <c:pt idx="11">
                  <c:v>88892534.489999995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54592"/>
        <c:axId val="103456128"/>
      </c:lineChart>
      <c:catAx>
        <c:axId val="103454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3456128"/>
        <c:crosses val="autoZero"/>
        <c:auto val="1"/>
        <c:lblAlgn val="ctr"/>
        <c:lblOffset val="100"/>
        <c:noMultiLvlLbl val="0"/>
      </c:catAx>
      <c:valAx>
        <c:axId val="103456128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34545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Plano Financeiro (Trimestral)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Receitas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</c:strCache>
            </c:strRef>
          </c:cat>
          <c:val>
            <c:numRef>
              <c:f>Trimestral!$I$68:$K$68</c:f>
              <c:numCache>
                <c:formatCode>#,##0.00_ ;\-#,##0.00\ </c:formatCode>
                <c:ptCount val="3"/>
                <c:pt idx="0">
                  <c:v>949735.7</c:v>
                </c:pt>
                <c:pt idx="1">
                  <c:v>1137239.72</c:v>
                </c:pt>
                <c:pt idx="2">
                  <c:v>1153516.17</c:v>
                </c:pt>
              </c:numCache>
            </c:numRef>
          </c:val>
        </c:ser>
        <c:ser>
          <c:idx val="1"/>
          <c:order val="1"/>
          <c:tx>
            <c:v>Despesas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</c:strCache>
            </c:strRef>
          </c:cat>
          <c:val>
            <c:numRef>
              <c:f>Trimestral!$I$69:$K$69</c:f>
              <c:numCache>
                <c:formatCode>#,##0.00_ ;\-#,##0.00\ </c:formatCode>
                <c:ptCount val="3"/>
                <c:pt idx="0">
                  <c:v>2079245.2099999997</c:v>
                </c:pt>
                <c:pt idx="1">
                  <c:v>2118339.42</c:v>
                </c:pt>
                <c:pt idx="2">
                  <c:v>2154385.5699999998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36960"/>
        <c:axId val="108538496"/>
      </c:barChart>
      <c:catAx>
        <c:axId val="108536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8538496"/>
        <c:crosses val="autoZero"/>
        <c:auto val="1"/>
        <c:lblAlgn val="ctr"/>
        <c:lblOffset val="100"/>
        <c:noMultiLvlLbl val="0"/>
      </c:catAx>
      <c:valAx>
        <c:axId val="108538496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8536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Plano Previdenciário (Trimestral)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Receitas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</c:strCache>
            </c:strRef>
          </c:cat>
          <c:val>
            <c:numRef>
              <c:f>Trimestral!$I$71:$K$71</c:f>
              <c:numCache>
                <c:formatCode>#,##0.00_ ;\-#,##0.00\ </c:formatCode>
                <c:ptCount val="3"/>
                <c:pt idx="0">
                  <c:v>1990398.2200000002</c:v>
                </c:pt>
                <c:pt idx="1">
                  <c:v>1264612.9099999999</c:v>
                </c:pt>
                <c:pt idx="2">
                  <c:v>2259159.4700000002</c:v>
                </c:pt>
              </c:numCache>
            </c:numRef>
          </c:val>
        </c:ser>
        <c:ser>
          <c:idx val="1"/>
          <c:order val="1"/>
          <c:tx>
            <c:v>Despesas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</c:strCache>
            </c:strRef>
          </c:cat>
          <c:val>
            <c:numRef>
              <c:f>Trimestral!$I$72:$K$72</c:f>
              <c:numCache>
                <c:formatCode>#,##0.00_ ;\-#,##0.00\ </c:formatCode>
                <c:ptCount val="3"/>
                <c:pt idx="0">
                  <c:v>154256.19</c:v>
                </c:pt>
                <c:pt idx="1">
                  <c:v>143425.51</c:v>
                </c:pt>
                <c:pt idx="2">
                  <c:v>142133.83000000002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50016"/>
        <c:axId val="108551552"/>
      </c:barChart>
      <c:catAx>
        <c:axId val="108550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8551552"/>
        <c:crosses val="autoZero"/>
        <c:auto val="1"/>
        <c:lblAlgn val="ctr"/>
        <c:lblOffset val="100"/>
        <c:noMultiLvlLbl val="0"/>
      </c:catAx>
      <c:valAx>
        <c:axId val="108551552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8550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Geral (Trimestral)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Receitas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</c:strCache>
            </c:strRef>
          </c:cat>
          <c:val>
            <c:numRef>
              <c:f>Trimestral!$I$26:$K$26</c:f>
              <c:numCache>
                <c:formatCode>#,##0.00_ ;\-#,##0.00\ </c:formatCode>
                <c:ptCount val="3"/>
                <c:pt idx="0">
                  <c:v>2940133.92</c:v>
                </c:pt>
                <c:pt idx="1">
                  <c:v>2401852.63</c:v>
                </c:pt>
                <c:pt idx="2">
                  <c:v>3412675.64</c:v>
                </c:pt>
              </c:numCache>
            </c:numRef>
          </c:val>
        </c:ser>
        <c:ser>
          <c:idx val="1"/>
          <c:order val="1"/>
          <c:tx>
            <c:v>Despesas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Trimestral!$I$7:$K$8</c:f>
              <c:strCache>
                <c:ptCount val="3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</c:strCache>
            </c:strRef>
          </c:cat>
          <c:val>
            <c:numRef>
              <c:f>Trimestral!$I$41:$K$41</c:f>
              <c:numCache>
                <c:formatCode>#,##0.00_ ;\-#,##0.00\ </c:formatCode>
                <c:ptCount val="3"/>
                <c:pt idx="0">
                  <c:v>2233501.4</c:v>
                </c:pt>
                <c:pt idx="1">
                  <c:v>2261764.9299999997</c:v>
                </c:pt>
                <c:pt idx="2">
                  <c:v>2296519.3999999994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69408"/>
        <c:axId val="109970944"/>
      </c:barChart>
      <c:catAx>
        <c:axId val="109969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9970944"/>
        <c:crosses val="autoZero"/>
        <c:auto val="1"/>
        <c:lblAlgn val="ctr"/>
        <c:lblOffset val="100"/>
        <c:noMultiLvlLbl val="0"/>
      </c:catAx>
      <c:valAx>
        <c:axId val="109970944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99694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BR" baseline="0">
                <a:latin typeface="Arial" pitchFamily="34" charset="0"/>
                <a:cs typeface="Arial" pitchFamily="34" charset="0"/>
              </a:rPr>
              <a:t>Aplicação Financeira (Trimestral)</a:t>
            </a:r>
            <a:endParaRPr lang="pt-BR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Plano Financeiro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Trimestral!$I$7:$K$8</c:f>
              <c:strCache>
                <c:ptCount val="3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</c:strCache>
            </c:strRef>
          </c:cat>
          <c:val>
            <c:numRef>
              <c:f>Trimestral!$I$74:$K$74</c:f>
              <c:numCache>
                <c:formatCode>#,##0.00_ ;\-#,##0.00\ </c:formatCode>
                <c:ptCount val="3"/>
                <c:pt idx="0">
                  <c:v>17701908.370000001</c:v>
                </c:pt>
                <c:pt idx="1">
                  <c:v>16689948</c:v>
                </c:pt>
                <c:pt idx="2">
                  <c:v>15689078.6</c:v>
                </c:pt>
              </c:numCache>
            </c:numRef>
          </c:val>
          <c:smooth val="0"/>
        </c:ser>
        <c:ser>
          <c:idx val="1"/>
          <c:order val="1"/>
          <c:tx>
            <c:v>Plano Previdenciário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Trimestral!$I$7:$K$8</c:f>
              <c:strCache>
                <c:ptCount val="3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</c:strCache>
            </c:strRef>
          </c:cat>
          <c:val>
            <c:numRef>
              <c:f>Trimestral!$I$75:$K$75</c:f>
              <c:numCache>
                <c:formatCode>#,##0.00_ ;\-#,##0.00\ </c:formatCode>
                <c:ptCount val="3"/>
                <c:pt idx="0">
                  <c:v>79876661.890000001</c:v>
                </c:pt>
                <c:pt idx="1">
                  <c:v>80848882.340000004</c:v>
                </c:pt>
                <c:pt idx="2">
                  <c:v>82965907.980000004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83616"/>
        <c:axId val="109985152"/>
      </c:lineChart>
      <c:catAx>
        <c:axId val="109983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9985152"/>
        <c:crosses val="autoZero"/>
        <c:auto val="1"/>
        <c:lblAlgn val="ctr"/>
        <c:lblOffset val="100"/>
        <c:noMultiLvlLbl val="0"/>
      </c:catAx>
      <c:valAx>
        <c:axId val="109985152"/>
        <c:scaling>
          <c:orientation val="minMax"/>
        </c:scaling>
        <c:delete val="0"/>
        <c:axPos val="l"/>
        <c:majorGridlines/>
        <c:numFmt formatCode="#,##0.00_ ;\-#,##0.00\ 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1099836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15</xdr:row>
      <xdr:rowOff>4762</xdr:rowOff>
    </xdr:from>
    <xdr:to>
      <xdr:col>12</xdr:col>
      <xdr:colOff>247649</xdr:colOff>
      <xdr:row>29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29</xdr:row>
      <xdr:rowOff>142875</xdr:rowOff>
    </xdr:from>
    <xdr:to>
      <xdr:col>12</xdr:col>
      <xdr:colOff>247650</xdr:colOff>
      <xdr:row>44</xdr:row>
      <xdr:rowOff>42863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0</xdr:row>
      <xdr:rowOff>57150</xdr:rowOff>
    </xdr:from>
    <xdr:to>
      <xdr:col>12</xdr:col>
      <xdr:colOff>247650</xdr:colOff>
      <xdr:row>14</xdr:row>
      <xdr:rowOff>147638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44</xdr:row>
      <xdr:rowOff>95250</xdr:rowOff>
    </xdr:from>
    <xdr:to>
      <xdr:col>12</xdr:col>
      <xdr:colOff>247650</xdr:colOff>
      <xdr:row>58</xdr:row>
      <xdr:rowOff>185738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4762</xdr:rowOff>
    </xdr:from>
    <xdr:to>
      <xdr:col>12</xdr:col>
      <xdr:colOff>247650</xdr:colOff>
      <xdr:row>29</xdr:row>
      <xdr:rowOff>95250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29</xdr:row>
      <xdr:rowOff>142875</xdr:rowOff>
    </xdr:from>
    <xdr:to>
      <xdr:col>12</xdr:col>
      <xdr:colOff>247651</xdr:colOff>
      <xdr:row>44</xdr:row>
      <xdr:rowOff>42863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47626</xdr:colOff>
      <xdr:row>0</xdr:row>
      <xdr:rowOff>57150</xdr:rowOff>
    </xdr:from>
    <xdr:to>
      <xdr:col>12</xdr:col>
      <xdr:colOff>247651</xdr:colOff>
      <xdr:row>14</xdr:row>
      <xdr:rowOff>147638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44</xdr:row>
      <xdr:rowOff>95250</xdr:rowOff>
    </xdr:from>
    <xdr:to>
      <xdr:col>12</xdr:col>
      <xdr:colOff>247650</xdr:colOff>
      <xdr:row>58</xdr:row>
      <xdr:rowOff>185738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selection activeCell="A3" sqref="A3:D4"/>
    </sheetView>
  </sheetViews>
  <sheetFormatPr defaultColWidth="11.42578125" defaultRowHeight="11.25" x14ac:dyDescent="0.2"/>
  <cols>
    <col min="1" max="12" width="11.42578125" style="19"/>
    <col min="13" max="13" width="11.140625" style="19" customWidth="1"/>
    <col min="14" max="14" width="11.5703125" style="19" customWidth="1"/>
    <col min="15" max="15" width="11.7109375" style="19" customWidth="1"/>
    <col min="16" max="16" width="12.5703125" style="19" customWidth="1"/>
    <col min="17" max="16384" width="11.42578125" style="19"/>
  </cols>
  <sheetData>
    <row r="1" spans="1:17" x14ac:dyDescent="0.2">
      <c r="A1" s="49">
        <v>2019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7.5" customHeight="1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x14ac:dyDescent="0.2">
      <c r="A3" s="46" t="s">
        <v>9</v>
      </c>
      <c r="B3" s="46"/>
      <c r="C3" s="46"/>
      <c r="D3" s="46"/>
      <c r="E3" s="47" t="s">
        <v>41</v>
      </c>
      <c r="F3" s="47" t="s">
        <v>42</v>
      </c>
      <c r="G3" s="47" t="s">
        <v>43</v>
      </c>
      <c r="H3" s="47" t="s">
        <v>36</v>
      </c>
      <c r="I3" s="47" t="s">
        <v>37</v>
      </c>
      <c r="J3" s="47" t="s">
        <v>38</v>
      </c>
      <c r="K3" s="47" t="s">
        <v>2</v>
      </c>
      <c r="L3" s="47" t="s">
        <v>3</v>
      </c>
      <c r="M3" s="47" t="s">
        <v>4</v>
      </c>
      <c r="N3" s="47" t="s">
        <v>29</v>
      </c>
      <c r="O3" s="47" t="s">
        <v>30</v>
      </c>
      <c r="P3" s="47" t="s">
        <v>31</v>
      </c>
      <c r="Q3" s="47" t="s">
        <v>27</v>
      </c>
    </row>
    <row r="4" spans="1:17" ht="7.5" customHeight="1" x14ac:dyDescent="0.2">
      <c r="A4" s="46"/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42" t="s">
        <v>52</v>
      </c>
      <c r="B5" s="42"/>
      <c r="C5" s="42"/>
      <c r="D5" s="42"/>
      <c r="E5" s="16">
        <v>253216.4</v>
      </c>
      <c r="F5" s="16">
        <v>252169.63</v>
      </c>
      <c r="G5" s="16">
        <v>250838.86</v>
      </c>
      <c r="H5" s="16">
        <v>0</v>
      </c>
      <c r="I5" s="16">
        <v>493784.31</v>
      </c>
      <c r="J5" s="16">
        <v>240513.49</v>
      </c>
      <c r="K5" s="16">
        <v>240261.61</v>
      </c>
      <c r="L5" s="16">
        <v>239999.58</v>
      </c>
      <c r="M5" s="16">
        <v>232634.93</v>
      </c>
      <c r="N5" s="16">
        <v>232490.49</v>
      </c>
      <c r="O5" s="16">
        <v>225670.19</v>
      </c>
      <c r="P5" s="16">
        <v>445678.89</v>
      </c>
      <c r="Q5" s="16">
        <f>SUM(E5:P5)</f>
        <v>3107258.38</v>
      </c>
    </row>
    <row r="6" spans="1:17" x14ac:dyDescent="0.2">
      <c r="A6" s="42" t="s">
        <v>50</v>
      </c>
      <c r="B6" s="42"/>
      <c r="C6" s="42"/>
      <c r="D6" s="42"/>
      <c r="E6" s="16">
        <v>369697.99</v>
      </c>
      <c r="F6" s="16">
        <v>409971.45</v>
      </c>
      <c r="G6" s="16">
        <v>420384.41</v>
      </c>
      <c r="H6" s="16">
        <v>4933.26</v>
      </c>
      <c r="I6" s="16">
        <v>859115.87</v>
      </c>
      <c r="J6" s="16">
        <v>443046.78</v>
      </c>
      <c r="K6" s="16">
        <v>445809.81</v>
      </c>
      <c r="L6" s="16">
        <v>448783.5</v>
      </c>
      <c r="M6" s="16">
        <v>451108.91</v>
      </c>
      <c r="N6" s="16">
        <v>450500.75</v>
      </c>
      <c r="O6" s="16">
        <v>456162.02</v>
      </c>
      <c r="P6" s="16">
        <v>895541.53</v>
      </c>
      <c r="Q6" s="16">
        <f>SUM(E6:P6)</f>
        <v>5655056.2800000003</v>
      </c>
    </row>
    <row r="7" spans="1:17" x14ac:dyDescent="0.2">
      <c r="A7" s="42" t="s">
        <v>44</v>
      </c>
      <c r="B7" s="42"/>
      <c r="C7" s="42"/>
      <c r="D7" s="42"/>
      <c r="E7" s="16">
        <v>3087.55</v>
      </c>
      <c r="F7" s="16">
        <v>3265.03</v>
      </c>
      <c r="G7" s="16">
        <v>3291.96</v>
      </c>
      <c r="H7" s="16">
        <v>3353.6</v>
      </c>
      <c r="I7" s="16">
        <v>3403.89</v>
      </c>
      <c r="J7" s="16">
        <v>3403.89</v>
      </c>
      <c r="K7" s="16">
        <v>3403.89</v>
      </c>
      <c r="L7" s="16">
        <v>3418.14</v>
      </c>
      <c r="M7" s="16">
        <v>4077.63</v>
      </c>
      <c r="N7" s="16">
        <v>4184.3599999999997</v>
      </c>
      <c r="O7" s="16">
        <v>4293.53</v>
      </c>
      <c r="P7" s="16">
        <v>7837.75</v>
      </c>
      <c r="Q7" s="16">
        <f>SUM(E7:P7)</f>
        <v>47021.22</v>
      </c>
    </row>
    <row r="8" spans="1:17" x14ac:dyDescent="0.2">
      <c r="A8" s="48" t="s">
        <v>45</v>
      </c>
      <c r="B8" s="48"/>
      <c r="C8" s="48"/>
      <c r="D8" s="48"/>
      <c r="E8" s="16">
        <v>27.43</v>
      </c>
      <c r="F8" s="16">
        <v>27.43</v>
      </c>
      <c r="G8" s="16">
        <v>27.43</v>
      </c>
      <c r="H8" s="16">
        <v>27.43</v>
      </c>
      <c r="I8" s="16">
        <v>27.43</v>
      </c>
      <c r="J8" s="16">
        <v>27.43</v>
      </c>
      <c r="K8" s="16">
        <v>27.43</v>
      </c>
      <c r="L8" s="16">
        <v>27.43</v>
      </c>
      <c r="M8" s="16">
        <v>27.43</v>
      </c>
      <c r="N8" s="16">
        <v>27.43</v>
      </c>
      <c r="O8" s="16">
        <v>27.43</v>
      </c>
      <c r="P8" s="16">
        <v>54.86</v>
      </c>
      <c r="Q8" s="16">
        <f>SUM(E8:P8)</f>
        <v>356.59000000000003</v>
      </c>
    </row>
    <row r="9" spans="1:17" x14ac:dyDescent="0.2">
      <c r="A9" s="42" t="s">
        <v>46</v>
      </c>
      <c r="B9" s="42"/>
      <c r="C9" s="42"/>
      <c r="D9" s="42"/>
      <c r="E9" s="16">
        <v>297.47000000000003</v>
      </c>
      <c r="F9" s="16">
        <v>297.47000000000003</v>
      </c>
      <c r="G9" s="16">
        <v>297.47000000000003</v>
      </c>
      <c r="H9" s="16">
        <v>297.47000000000003</v>
      </c>
      <c r="I9" s="16">
        <v>297.47000000000003</v>
      </c>
      <c r="J9" s="16">
        <v>297.47000000000003</v>
      </c>
      <c r="K9" s="16">
        <v>297.47000000000003</v>
      </c>
      <c r="L9" s="16">
        <v>297.47000000000003</v>
      </c>
      <c r="M9" s="16">
        <v>297.47000000000003</v>
      </c>
      <c r="N9" s="16">
        <v>297.47000000000003</v>
      </c>
      <c r="O9" s="16">
        <v>297.47000000000003</v>
      </c>
      <c r="P9" s="16">
        <v>594.94000000000005</v>
      </c>
      <c r="Q9" s="16">
        <f>SUM(E9:P9)</f>
        <v>3867.110000000001</v>
      </c>
    </row>
    <row r="10" spans="1:17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">
      <c r="A11" s="42" t="s">
        <v>53</v>
      </c>
      <c r="B11" s="42"/>
      <c r="C11" s="42"/>
      <c r="D11" s="42"/>
      <c r="E11" s="16">
        <v>405369.64</v>
      </c>
      <c r="F11" s="16">
        <v>403675.61</v>
      </c>
      <c r="G11" s="16">
        <v>401549.05</v>
      </c>
      <c r="H11" s="16">
        <v>0</v>
      </c>
      <c r="I11" s="16">
        <v>790486.4</v>
      </c>
      <c r="J11" s="16">
        <v>385040.45</v>
      </c>
      <c r="K11" s="16">
        <v>380705.56</v>
      </c>
      <c r="L11" s="16">
        <v>380278.64</v>
      </c>
      <c r="M11" s="16">
        <v>368591.52</v>
      </c>
      <c r="N11" s="16">
        <v>372196.1</v>
      </c>
      <c r="O11" s="16">
        <v>361277.68</v>
      </c>
      <c r="P11" s="16">
        <v>713465.3</v>
      </c>
      <c r="Q11" s="16">
        <f>SUM(E11:P11)</f>
        <v>4962635.95</v>
      </c>
    </row>
    <row r="12" spans="1:17" x14ac:dyDescent="0.2">
      <c r="A12" s="42" t="s">
        <v>40</v>
      </c>
      <c r="B12" s="42"/>
      <c r="C12" s="42"/>
      <c r="D12" s="42"/>
      <c r="E12" s="16">
        <v>591798.34</v>
      </c>
      <c r="F12" s="16">
        <v>656292.18999999994</v>
      </c>
      <c r="G12" s="16">
        <v>672996.78</v>
      </c>
      <c r="H12" s="16">
        <v>7897.81</v>
      </c>
      <c r="I12" s="16">
        <v>1375326.88</v>
      </c>
      <c r="J12" s="16">
        <v>709235.47</v>
      </c>
      <c r="K12" s="16">
        <v>712981.07</v>
      </c>
      <c r="L12" s="16">
        <v>717741.34</v>
      </c>
      <c r="M12" s="16">
        <v>721457.53</v>
      </c>
      <c r="N12" s="16">
        <v>721210.06</v>
      </c>
      <c r="O12" s="16">
        <v>730152.93</v>
      </c>
      <c r="P12" s="16">
        <v>1433590.24</v>
      </c>
      <c r="Q12" s="16">
        <f>SUM(E12:P12)</f>
        <v>9050680.6400000006</v>
      </c>
    </row>
    <row r="13" spans="1:17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</row>
    <row r="14" spans="1:17" x14ac:dyDescent="0.2">
      <c r="A14" s="42" t="s">
        <v>33</v>
      </c>
      <c r="B14" s="42"/>
      <c r="C14" s="42"/>
      <c r="D14" s="42"/>
      <c r="E14" s="16">
        <v>170757.71</v>
      </c>
      <c r="F14" s="16">
        <v>100566.76</v>
      </c>
      <c r="G14" s="16">
        <v>100049.7</v>
      </c>
      <c r="H14" s="16">
        <v>193497.31</v>
      </c>
      <c r="I14" s="16">
        <v>478527.96</v>
      </c>
      <c r="J14" s="16">
        <v>498526.68</v>
      </c>
      <c r="K14" s="16">
        <v>208448.95</v>
      </c>
      <c r="L14" s="16">
        <v>3715.59</v>
      </c>
      <c r="M14" s="16">
        <v>332499.59999999998</v>
      </c>
      <c r="N14" s="16">
        <v>277389.52</v>
      </c>
      <c r="O14" s="16">
        <v>1806.4</v>
      </c>
      <c r="P14" s="16">
        <v>77389.350000000006</v>
      </c>
      <c r="Q14" s="16">
        <f>SUM(E14:P14)</f>
        <v>2443175.5299999998</v>
      </c>
    </row>
    <row r="15" spans="1:17" x14ac:dyDescent="0.2">
      <c r="A15" s="42" t="s">
        <v>34</v>
      </c>
      <c r="B15" s="42"/>
      <c r="C15" s="42"/>
      <c r="D15" s="42"/>
      <c r="E15" s="16">
        <v>429522.72</v>
      </c>
      <c r="F15" s="16">
        <v>307762.24</v>
      </c>
      <c r="G15" s="16">
        <v>342580.42</v>
      </c>
      <c r="H15" s="16">
        <v>397602.84</v>
      </c>
      <c r="I15" s="16">
        <v>994554.59</v>
      </c>
      <c r="J15" s="16">
        <v>1555753.19</v>
      </c>
      <c r="K15" s="16">
        <v>831579.91</v>
      </c>
      <c r="L15" s="16">
        <v>98060.64</v>
      </c>
      <c r="M15" s="16">
        <v>1086565.6000000001</v>
      </c>
      <c r="N15" s="16">
        <v>1699990.36</v>
      </c>
      <c r="O15" s="16">
        <v>53694.82</v>
      </c>
      <c r="P15" s="16">
        <v>648386.09</v>
      </c>
      <c r="Q15" s="16">
        <f>SUM(E15:P15)</f>
        <v>8446053.4200000018</v>
      </c>
    </row>
    <row r="16" spans="1:17" x14ac:dyDescent="0.2">
      <c r="A16" s="46" t="s">
        <v>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x14ac:dyDescent="0.2">
      <c r="A18" s="42" t="s">
        <v>6</v>
      </c>
      <c r="B18" s="42"/>
      <c r="C18" s="42"/>
      <c r="D18" s="42"/>
      <c r="E18" s="16">
        <v>111249.16</v>
      </c>
      <c r="F18" s="16">
        <v>111809.1</v>
      </c>
      <c r="G18" s="16">
        <v>112619.99</v>
      </c>
      <c r="H18" s="16">
        <v>114514.54</v>
      </c>
      <c r="I18" s="16">
        <v>114927.37</v>
      </c>
      <c r="J18" s="16">
        <v>116202.31</v>
      </c>
      <c r="K18" s="16">
        <v>116618.22</v>
      </c>
      <c r="L18" s="16">
        <v>117165.7</v>
      </c>
      <c r="M18" s="16">
        <v>117722.9</v>
      </c>
      <c r="N18" s="16">
        <v>118077.95</v>
      </c>
      <c r="O18" s="16">
        <v>118547.79</v>
      </c>
      <c r="P18" s="16">
        <v>119605.1</v>
      </c>
      <c r="Q18" s="16">
        <f>SUM(E18:P18)</f>
        <v>1389060.1300000001</v>
      </c>
    </row>
    <row r="19" spans="1:17" x14ac:dyDescent="0.2">
      <c r="A19" s="42" t="s">
        <v>7</v>
      </c>
      <c r="B19" s="42"/>
      <c r="C19" s="42"/>
      <c r="D19" s="42"/>
      <c r="E19" s="16">
        <v>94354.6</v>
      </c>
      <c r="F19" s="16">
        <v>94829.51</v>
      </c>
      <c r="G19" s="16">
        <v>95517.26</v>
      </c>
      <c r="H19" s="16">
        <v>97124.09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f>SUM(E19:P19)</f>
        <v>381825.45999999996</v>
      </c>
    </row>
    <row r="20" spans="1:17" ht="10.5" customHeight="1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</row>
    <row r="21" spans="1:17" x14ac:dyDescent="0.2">
      <c r="A21" s="42" t="s">
        <v>39</v>
      </c>
      <c r="B21" s="42"/>
      <c r="C21" s="42"/>
      <c r="D21" s="42"/>
      <c r="E21" s="16">
        <v>95224.46</v>
      </c>
      <c r="F21" s="16">
        <v>98489.14</v>
      </c>
      <c r="G21" s="16">
        <v>98489.14</v>
      </c>
      <c r="H21" s="16">
        <v>98290.52</v>
      </c>
      <c r="I21" s="16">
        <v>0</v>
      </c>
      <c r="J21" s="16">
        <v>0</v>
      </c>
      <c r="K21" s="16">
        <v>0</v>
      </c>
      <c r="L21" s="16">
        <v>392364.6</v>
      </c>
      <c r="M21" s="16">
        <v>97692.12</v>
      </c>
      <c r="N21" s="16">
        <v>97756.44</v>
      </c>
      <c r="O21" s="16">
        <v>151400.13</v>
      </c>
      <c r="P21" s="16">
        <v>197112.82</v>
      </c>
      <c r="Q21" s="16">
        <f>SUM(E21:P21)</f>
        <v>1326819.3699999999</v>
      </c>
    </row>
    <row r="22" spans="1:17" x14ac:dyDescent="0.2">
      <c r="A22" s="43" t="s">
        <v>27</v>
      </c>
      <c r="B22" s="43"/>
      <c r="C22" s="43"/>
      <c r="D22" s="43"/>
      <c r="E22" s="18">
        <f>SUM((E5:E9),(E11:E12),(E14:E15),(E18:E19),(E21))</f>
        <v>2524603.4700000002</v>
      </c>
      <c r="F22" s="18">
        <f t="shared" ref="F22:Q22" si="0">SUM((F5:F9),(F11:F12),(F14:F15),(F18:F19),(F21))</f>
        <v>2439155.56</v>
      </c>
      <c r="G22" s="18">
        <f t="shared" ref="G22:L22" si="1">SUM((G5:G9),(G11:G12),(G14:G15),(G18:G19),(G21))</f>
        <v>2498642.4700000002</v>
      </c>
      <c r="H22" s="18">
        <f t="shared" si="1"/>
        <v>917538.87</v>
      </c>
      <c r="I22" s="18">
        <f t="shared" si="1"/>
        <v>5110452.17</v>
      </c>
      <c r="J22" s="18">
        <f t="shared" si="1"/>
        <v>3952047.16</v>
      </c>
      <c r="K22" s="18">
        <f t="shared" si="1"/>
        <v>2940133.92</v>
      </c>
      <c r="L22" s="18">
        <f t="shared" si="1"/>
        <v>2401852.63</v>
      </c>
      <c r="M22" s="18">
        <f t="shared" ref="M22:N22" si="2">SUM((M5:M9),(M11:M12),(M14:M15),(M18:M19),(M21))</f>
        <v>3412675.64</v>
      </c>
      <c r="N22" s="18">
        <f t="shared" si="2"/>
        <v>3974120.93</v>
      </c>
      <c r="O22" s="18">
        <f t="shared" ref="O22:P22" si="3">SUM((O5:O9),(O11:O12),(O14:O15),(O18:O19),(O21))</f>
        <v>2103330.39</v>
      </c>
      <c r="P22" s="18">
        <f t="shared" si="3"/>
        <v>4539256.87</v>
      </c>
      <c r="Q22" s="18">
        <f t="shared" si="0"/>
        <v>36813810.080000006</v>
      </c>
    </row>
    <row r="23" spans="1:17" x14ac:dyDescent="0.2">
      <c r="A23" s="46" t="s">
        <v>10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5.2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x14ac:dyDescent="0.2">
      <c r="A25" s="42" t="s">
        <v>11</v>
      </c>
      <c r="B25" s="42"/>
      <c r="C25" s="42"/>
      <c r="D25" s="42"/>
      <c r="E25" s="16">
        <v>1565414.42</v>
      </c>
      <c r="F25" s="16">
        <v>1595075.09</v>
      </c>
      <c r="G25" s="16">
        <v>1612960.5</v>
      </c>
      <c r="H25" s="16">
        <v>1648267.66</v>
      </c>
      <c r="I25" s="16">
        <v>1678454.34</v>
      </c>
      <c r="J25" s="16">
        <v>1693084.18</v>
      </c>
      <c r="K25" s="16">
        <v>1709219.83</v>
      </c>
      <c r="L25" s="16">
        <v>1742841.75</v>
      </c>
      <c r="M25" s="16">
        <v>1777391.38</v>
      </c>
      <c r="N25" s="16">
        <v>1787424.83</v>
      </c>
      <c r="O25" s="16">
        <v>1809889.23</v>
      </c>
      <c r="P25" s="16">
        <v>3515413.37</v>
      </c>
      <c r="Q25" s="16">
        <f t="shared" ref="Q25:Q36" si="4">SUM(E25:P25)</f>
        <v>22135436.579999998</v>
      </c>
    </row>
    <row r="26" spans="1:17" x14ac:dyDescent="0.2">
      <c r="A26" s="42" t="s">
        <v>12</v>
      </c>
      <c r="B26" s="42"/>
      <c r="C26" s="42"/>
      <c r="D26" s="42"/>
      <c r="E26" s="16">
        <v>16340.98</v>
      </c>
      <c r="F26" s="16">
        <v>16340.98</v>
      </c>
      <c r="G26" s="16">
        <v>16340.98</v>
      </c>
      <c r="H26" s="16">
        <v>18569.54</v>
      </c>
      <c r="I26" s="16">
        <v>19276.009999999998</v>
      </c>
      <c r="J26" s="16">
        <v>19726.72</v>
      </c>
      <c r="K26" s="16">
        <v>19726.72</v>
      </c>
      <c r="L26" s="16">
        <v>19310.89</v>
      </c>
      <c r="M26" s="16">
        <v>18728.72</v>
      </c>
      <c r="N26" s="16">
        <v>18728.72</v>
      </c>
      <c r="O26" s="16">
        <v>18728.72</v>
      </c>
      <c r="P26" s="16">
        <v>36527.839999999997</v>
      </c>
      <c r="Q26" s="16">
        <f t="shared" si="4"/>
        <v>238346.82</v>
      </c>
    </row>
    <row r="27" spans="1:17" x14ac:dyDescent="0.2">
      <c r="A27" s="42" t="s">
        <v>13</v>
      </c>
      <c r="B27" s="42"/>
      <c r="C27" s="42"/>
      <c r="D27" s="42"/>
      <c r="E27" s="16">
        <v>281840.31</v>
      </c>
      <c r="F27" s="16">
        <v>281840.31</v>
      </c>
      <c r="G27" s="16">
        <v>281840.31</v>
      </c>
      <c r="H27" s="16">
        <v>281840.31</v>
      </c>
      <c r="I27" s="16">
        <v>280842.31</v>
      </c>
      <c r="J27" s="16">
        <v>287455.17</v>
      </c>
      <c r="K27" s="16">
        <v>288568.88</v>
      </c>
      <c r="L27" s="16">
        <v>288568.88</v>
      </c>
      <c r="M27" s="16">
        <v>282386.8</v>
      </c>
      <c r="N27" s="16">
        <v>284804.73</v>
      </c>
      <c r="O27" s="16">
        <v>288774.06</v>
      </c>
      <c r="P27" s="16">
        <v>568503.6</v>
      </c>
      <c r="Q27" s="16">
        <f t="shared" si="4"/>
        <v>3697265.67</v>
      </c>
    </row>
    <row r="28" spans="1:17" x14ac:dyDescent="0.2">
      <c r="A28" s="45" t="s">
        <v>14</v>
      </c>
      <c r="B28" s="45"/>
      <c r="C28" s="45"/>
      <c r="D28" s="45"/>
      <c r="E28" s="16">
        <v>5581.39</v>
      </c>
      <c r="F28" s="16">
        <v>5581.39</v>
      </c>
      <c r="G28" s="16">
        <v>5581.39</v>
      </c>
      <c r="H28" s="16">
        <v>5581.39</v>
      </c>
      <c r="I28" s="16">
        <v>7021.73</v>
      </c>
      <c r="J28" s="16">
        <v>7069.73</v>
      </c>
      <c r="K28" s="16">
        <v>7069.73</v>
      </c>
      <c r="L28" s="16">
        <v>7069.73</v>
      </c>
      <c r="M28" s="16">
        <v>7069.73</v>
      </c>
      <c r="N28" s="16">
        <v>7069.73</v>
      </c>
      <c r="O28" s="16">
        <v>7069.73</v>
      </c>
      <c r="P28" s="16">
        <v>13643.35</v>
      </c>
      <c r="Q28" s="16">
        <f t="shared" si="4"/>
        <v>85409.01999999999</v>
      </c>
    </row>
    <row r="29" spans="1:17" x14ac:dyDescent="0.2">
      <c r="A29" s="45" t="s">
        <v>15</v>
      </c>
      <c r="B29" s="45"/>
      <c r="C29" s="45"/>
      <c r="D29" s="45"/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f t="shared" si="4"/>
        <v>0</v>
      </c>
    </row>
    <row r="30" spans="1:17" x14ac:dyDescent="0.2">
      <c r="A30" s="45" t="s">
        <v>16</v>
      </c>
      <c r="B30" s="45"/>
      <c r="C30" s="45"/>
      <c r="D30" s="45"/>
      <c r="E30" s="16">
        <v>1902.4</v>
      </c>
      <c r="F30" s="16">
        <v>2269.54</v>
      </c>
      <c r="G30" s="16">
        <v>2033.6</v>
      </c>
      <c r="H30" s="16">
        <v>0</v>
      </c>
      <c r="I30" s="16">
        <v>4231.2</v>
      </c>
      <c r="J30" s="16">
        <v>2132</v>
      </c>
      <c r="K30" s="16">
        <v>2033.6</v>
      </c>
      <c r="L30" s="16">
        <v>2066.4</v>
      </c>
      <c r="M30" s="16">
        <v>2000.8</v>
      </c>
      <c r="N30" s="16">
        <v>2099.1999999999998</v>
      </c>
      <c r="O30" s="16">
        <v>2066.4</v>
      </c>
      <c r="P30" s="16">
        <v>1646.35</v>
      </c>
      <c r="Q30" s="16">
        <f t="shared" si="4"/>
        <v>24481.49</v>
      </c>
    </row>
    <row r="31" spans="1:17" x14ac:dyDescent="0.2">
      <c r="A31" s="45" t="s">
        <v>17</v>
      </c>
      <c r="B31" s="45"/>
      <c r="C31" s="45"/>
      <c r="D31" s="45"/>
      <c r="E31" s="16">
        <v>0</v>
      </c>
      <c r="F31" s="16">
        <v>2246.2800000000002</v>
      </c>
      <c r="G31" s="16">
        <v>2246.2800000000002</v>
      </c>
      <c r="H31" s="16">
        <v>0</v>
      </c>
      <c r="I31" s="16">
        <v>4492.5600000000004</v>
      </c>
      <c r="J31" s="16">
        <v>0</v>
      </c>
      <c r="K31" s="16">
        <v>4694.38</v>
      </c>
      <c r="L31" s="16">
        <v>5018.13</v>
      </c>
      <c r="M31" s="16">
        <v>5018.13</v>
      </c>
      <c r="N31" s="16">
        <v>4856.25</v>
      </c>
      <c r="O31" s="16">
        <v>0</v>
      </c>
      <c r="P31" s="16">
        <v>0</v>
      </c>
      <c r="Q31" s="16">
        <f t="shared" si="4"/>
        <v>28572.010000000002</v>
      </c>
    </row>
    <row r="32" spans="1:17" x14ac:dyDescent="0.2">
      <c r="A32" s="45" t="s">
        <v>18</v>
      </c>
      <c r="B32" s="45"/>
      <c r="C32" s="45"/>
      <c r="D32" s="45"/>
      <c r="E32" s="16">
        <v>52276.05</v>
      </c>
      <c r="F32" s="16">
        <v>60801.46</v>
      </c>
      <c r="G32" s="16">
        <v>68698.89</v>
      </c>
      <c r="H32" s="16">
        <v>0</v>
      </c>
      <c r="I32" s="16">
        <v>114854.39999999999</v>
      </c>
      <c r="J32" s="16">
        <v>54129.15</v>
      </c>
      <c r="K32" s="16">
        <v>55879.99</v>
      </c>
      <c r="L32" s="16">
        <v>56244.28</v>
      </c>
      <c r="M32" s="16">
        <v>57543.3</v>
      </c>
      <c r="N32" s="16">
        <v>51299.55</v>
      </c>
      <c r="O32" s="16">
        <v>45868.62</v>
      </c>
      <c r="P32" s="16">
        <v>61228.7</v>
      </c>
      <c r="Q32" s="16">
        <f t="shared" si="4"/>
        <v>678824.39</v>
      </c>
    </row>
    <row r="33" spans="1:17" x14ac:dyDescent="0.2">
      <c r="A33" s="45" t="s">
        <v>19</v>
      </c>
      <c r="B33" s="45"/>
      <c r="C33" s="45"/>
      <c r="D33" s="45"/>
      <c r="E33" s="16">
        <v>76684.490000000005</v>
      </c>
      <c r="F33" s="16">
        <v>68494.67</v>
      </c>
      <c r="G33" s="16">
        <v>90423.08</v>
      </c>
      <c r="H33" s="16">
        <v>0</v>
      </c>
      <c r="I33" s="16">
        <v>172116.43</v>
      </c>
      <c r="J33" s="16">
        <v>78725.929999999993</v>
      </c>
      <c r="K33" s="16">
        <v>67167.679999999993</v>
      </c>
      <c r="L33" s="16">
        <v>72316.22</v>
      </c>
      <c r="M33" s="16">
        <v>79994.820000000007</v>
      </c>
      <c r="N33" s="16">
        <v>86370.53</v>
      </c>
      <c r="O33" s="16">
        <v>93665.18</v>
      </c>
      <c r="P33" s="16">
        <v>81715.460000000006</v>
      </c>
      <c r="Q33" s="16">
        <f t="shared" si="4"/>
        <v>967674.49</v>
      </c>
    </row>
    <row r="34" spans="1:17" x14ac:dyDescent="0.2">
      <c r="A34" s="45" t="s">
        <v>20</v>
      </c>
      <c r="B34" s="45"/>
      <c r="C34" s="45"/>
      <c r="D34" s="45"/>
      <c r="E34" s="16">
        <v>30446.76</v>
      </c>
      <c r="F34" s="16">
        <v>40351.79</v>
      </c>
      <c r="G34" s="16">
        <v>67114.789999999994</v>
      </c>
      <c r="H34" s="16">
        <v>0</v>
      </c>
      <c r="I34" s="16">
        <v>136609.85999999999</v>
      </c>
      <c r="J34" s="16">
        <v>92953.39</v>
      </c>
      <c r="K34" s="16">
        <v>69546.149999999994</v>
      </c>
      <c r="L34" s="16">
        <v>58734.21</v>
      </c>
      <c r="M34" s="16">
        <v>56791.28</v>
      </c>
      <c r="N34" s="16">
        <v>65569.66</v>
      </c>
      <c r="O34" s="16">
        <v>58396.34</v>
      </c>
      <c r="P34" s="16">
        <v>53435.85</v>
      </c>
      <c r="Q34" s="16">
        <f t="shared" si="4"/>
        <v>729950.08</v>
      </c>
    </row>
    <row r="35" spans="1:17" x14ac:dyDescent="0.2">
      <c r="A35" s="45" t="s">
        <v>8</v>
      </c>
      <c r="B35" s="45"/>
      <c r="C35" s="45"/>
      <c r="D35" s="45"/>
      <c r="E35" s="16">
        <v>8919.17</v>
      </c>
      <c r="F35" s="16">
        <v>9224.82</v>
      </c>
      <c r="G35" s="16">
        <v>9224.82</v>
      </c>
      <c r="H35" s="16">
        <v>9224.82</v>
      </c>
      <c r="I35" s="16">
        <v>9224.82</v>
      </c>
      <c r="J35" s="16">
        <v>9594.44</v>
      </c>
      <c r="K35" s="16">
        <v>9594.44</v>
      </c>
      <c r="L35" s="16">
        <v>9594.44</v>
      </c>
      <c r="M35" s="16">
        <v>9594.44</v>
      </c>
      <c r="N35" s="16">
        <v>9594.44</v>
      </c>
      <c r="O35" s="16">
        <v>10732.14</v>
      </c>
      <c r="P35" s="16">
        <v>19269.060000000001</v>
      </c>
      <c r="Q35" s="16">
        <f>SUM(E35:P35)</f>
        <v>123791.85</v>
      </c>
    </row>
    <row r="36" spans="1:17" x14ac:dyDescent="0.2">
      <c r="A36" s="45" t="s">
        <v>68</v>
      </c>
      <c r="B36" s="45"/>
      <c r="C36" s="45"/>
      <c r="D36" s="45"/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252794.05</v>
      </c>
      <c r="Q36" s="16">
        <f t="shared" si="4"/>
        <v>252794.05</v>
      </c>
    </row>
    <row r="37" spans="1:17" x14ac:dyDescent="0.2">
      <c r="A37" s="43" t="s">
        <v>27</v>
      </c>
      <c r="B37" s="43"/>
      <c r="C37" s="43"/>
      <c r="D37" s="43"/>
      <c r="E37" s="18">
        <f>SUM(E25:E36)</f>
        <v>2039405.9699999997</v>
      </c>
      <c r="F37" s="18">
        <f>SUM(F25:F36)</f>
        <v>2082226.33</v>
      </c>
      <c r="G37" s="18">
        <f>SUM(G25:G36)</f>
        <v>2156464.6399999997</v>
      </c>
      <c r="H37" s="18">
        <f t="shared" ref="H37:L37" si="5">SUM(H25:H36)</f>
        <v>1963483.72</v>
      </c>
      <c r="I37" s="18">
        <f t="shared" si="5"/>
        <v>2427123.66</v>
      </c>
      <c r="J37" s="18">
        <f t="shared" si="5"/>
        <v>2244870.71</v>
      </c>
      <c r="K37" s="18">
        <f t="shared" si="5"/>
        <v>2233501.4</v>
      </c>
      <c r="L37" s="18">
        <f t="shared" si="5"/>
        <v>2261764.9299999997</v>
      </c>
      <c r="M37" s="18">
        <f t="shared" ref="M37" si="6">SUM(M25:M36)</f>
        <v>2296519.3999999994</v>
      </c>
      <c r="N37" s="18">
        <f>SUM(N25:N36)</f>
        <v>2317817.64</v>
      </c>
      <c r="O37" s="18">
        <f t="shared" ref="O37" si="7">SUM(O25:O36)</f>
        <v>2335190.42</v>
      </c>
      <c r="P37" s="18">
        <f>SUM(P25:P36)</f>
        <v>4604177.629999999</v>
      </c>
      <c r="Q37" s="18">
        <f>SUM(Q25:Q36)</f>
        <v>28962546.449999999</v>
      </c>
    </row>
    <row r="38" spans="1:17" x14ac:dyDescent="0.2">
      <c r="A38" s="46" t="s">
        <v>21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6.75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x14ac:dyDescent="0.2">
      <c r="A40" s="43" t="s">
        <v>35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x14ac:dyDescent="0.2">
      <c r="A41" s="42" t="s">
        <v>23</v>
      </c>
      <c r="B41" s="42"/>
      <c r="C41" s="42"/>
      <c r="D41" s="42"/>
      <c r="E41" s="16">
        <v>21473044.739999998</v>
      </c>
      <c r="F41" s="16">
        <v>20745495.949999999</v>
      </c>
      <c r="G41" s="16">
        <v>19788050.399999999</v>
      </c>
      <c r="H41" s="16">
        <v>18322126.68</v>
      </c>
      <c r="I41" s="16">
        <v>18105960.550000001</v>
      </c>
      <c r="J41" s="16">
        <v>17324837.359999999</v>
      </c>
      <c r="K41" s="16">
        <v>16260284.91</v>
      </c>
      <c r="L41" s="16">
        <v>14941247.84</v>
      </c>
      <c r="M41" s="16">
        <v>13915635.75</v>
      </c>
      <c r="N41" s="16">
        <v>12825503</v>
      </c>
      <c r="O41" s="16">
        <v>10828247.699999999</v>
      </c>
      <c r="P41" s="16">
        <v>8493604.2699999996</v>
      </c>
      <c r="Q41" s="16">
        <f>P41</f>
        <v>8493604.2699999996</v>
      </c>
    </row>
    <row r="42" spans="1:17" x14ac:dyDescent="0.2">
      <c r="A42" s="42" t="s">
        <v>25</v>
      </c>
      <c r="B42" s="42"/>
      <c r="C42" s="42"/>
      <c r="D42" s="42"/>
      <c r="E42" s="16">
        <v>1505513.5</v>
      </c>
      <c r="F42" s="16">
        <v>1549255.05</v>
      </c>
      <c r="G42" s="16">
        <v>1560805.47</v>
      </c>
      <c r="H42" s="16">
        <v>1594218.62</v>
      </c>
      <c r="I42" s="16">
        <v>1550332.76</v>
      </c>
      <c r="J42" s="16">
        <v>1506580.52</v>
      </c>
      <c r="K42" s="16">
        <v>1441623.46</v>
      </c>
      <c r="L42" s="16">
        <v>1748700.1599999999</v>
      </c>
      <c r="M42" s="16">
        <v>1773442.85</v>
      </c>
      <c r="N42" s="16">
        <v>1792917.15</v>
      </c>
      <c r="O42" s="16">
        <v>1823585.29</v>
      </c>
      <c r="P42" s="16">
        <v>1830091.02</v>
      </c>
      <c r="Q42" s="16">
        <f>P42</f>
        <v>1830091.02</v>
      </c>
    </row>
    <row r="43" spans="1:17" x14ac:dyDescent="0.2">
      <c r="A43" s="42" t="s">
        <v>32</v>
      </c>
      <c r="B43" s="42"/>
      <c r="C43" s="42"/>
      <c r="D43" s="42"/>
      <c r="E43" s="16">
        <v>208223.27</v>
      </c>
      <c r="F43" s="16">
        <v>0</v>
      </c>
      <c r="G43" s="16">
        <v>0</v>
      </c>
      <c r="H43" s="16">
        <v>3651.07</v>
      </c>
      <c r="I43" s="16">
        <v>0</v>
      </c>
      <c r="J43" s="16">
        <v>10611.51</v>
      </c>
      <c r="K43" s="16">
        <v>0</v>
      </c>
      <c r="L43" s="16">
        <v>0</v>
      </c>
      <c r="M43" s="16">
        <v>0</v>
      </c>
      <c r="N43" s="16">
        <v>0</v>
      </c>
      <c r="O43" s="16">
        <v>497873.69</v>
      </c>
      <c r="P43" s="16">
        <v>0</v>
      </c>
      <c r="Q43" s="16">
        <f>P43</f>
        <v>0</v>
      </c>
    </row>
    <row r="44" spans="1:17" x14ac:dyDescent="0.2">
      <c r="A44" s="43" t="s">
        <v>27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17">
        <f>SUM(Q41:Q43)</f>
        <v>10323695.289999999</v>
      </c>
    </row>
    <row r="45" spans="1:17" x14ac:dyDescent="0.2">
      <c r="A45" s="43" t="s">
        <v>22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x14ac:dyDescent="0.2">
      <c r="A46" s="42" t="s">
        <v>24</v>
      </c>
      <c r="B46" s="42"/>
      <c r="C46" s="42"/>
      <c r="D46" s="42"/>
      <c r="E46" s="16">
        <v>59536353.960000001</v>
      </c>
      <c r="F46" s="16">
        <v>59786964.469999999</v>
      </c>
      <c r="G46" s="16">
        <v>60062883.420000002</v>
      </c>
      <c r="H46" s="16">
        <v>60370187.479999997</v>
      </c>
      <c r="I46" s="16">
        <v>61225601.609999999</v>
      </c>
      <c r="J46" s="16">
        <v>62575600.780000001</v>
      </c>
      <c r="K46" s="16">
        <v>63252128.350000001</v>
      </c>
      <c r="L46" s="16">
        <v>63173508.439999998</v>
      </c>
      <c r="M46" s="16">
        <v>64001590.039999999</v>
      </c>
      <c r="N46" s="16">
        <v>65326438.939999998</v>
      </c>
      <c r="O46" s="16">
        <v>64931254.439999998</v>
      </c>
      <c r="P46" s="16">
        <v>66432177.799999997</v>
      </c>
      <c r="Q46" s="16">
        <f>P46</f>
        <v>66432177.799999997</v>
      </c>
    </row>
    <row r="47" spans="1:17" x14ac:dyDescent="0.2">
      <c r="A47" s="42" t="s">
        <v>26</v>
      </c>
      <c r="B47" s="42"/>
      <c r="C47" s="42"/>
      <c r="D47" s="42"/>
      <c r="E47" s="16">
        <v>10116988.67</v>
      </c>
      <c r="F47" s="16">
        <v>11115337.9</v>
      </c>
      <c r="G47" s="16">
        <v>12115638.34</v>
      </c>
      <c r="H47" s="16">
        <v>12191221.5</v>
      </c>
      <c r="I47" s="16">
        <v>14282866.369999999</v>
      </c>
      <c r="J47" s="16">
        <v>15464919.08</v>
      </c>
      <c r="K47" s="16">
        <v>16624533.539999999</v>
      </c>
      <c r="L47" s="16">
        <v>17675373.899999999</v>
      </c>
      <c r="M47" s="16">
        <v>18964317.940000001</v>
      </c>
      <c r="N47" s="16">
        <v>20353588.359999999</v>
      </c>
      <c r="O47" s="16">
        <v>21249742.920000002</v>
      </c>
      <c r="P47" s="16">
        <v>22460356.690000001</v>
      </c>
      <c r="Q47" s="16">
        <f>P47</f>
        <v>22460356.690000001</v>
      </c>
    </row>
    <row r="48" spans="1:17" x14ac:dyDescent="0.2">
      <c r="A48" s="39">
        <v>4452</v>
      </c>
      <c r="B48" s="40"/>
      <c r="C48" s="40"/>
      <c r="D48" s="41"/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12842.14</v>
      </c>
      <c r="O48" s="16">
        <v>645.98</v>
      </c>
      <c r="P48" s="16">
        <v>0</v>
      </c>
      <c r="Q48" s="16">
        <f t="shared" ref="Q48:Q50" si="8">P48</f>
        <v>0</v>
      </c>
    </row>
    <row r="49" spans="1:17" x14ac:dyDescent="0.2">
      <c r="A49" s="39">
        <v>93141</v>
      </c>
      <c r="B49" s="40"/>
      <c r="C49" s="40"/>
      <c r="D49" s="41"/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50002.71</v>
      </c>
      <c r="P49" s="16">
        <v>100202.19</v>
      </c>
      <c r="Q49" s="16">
        <f t="shared" si="8"/>
        <v>100202.19</v>
      </c>
    </row>
    <row r="50" spans="1:17" x14ac:dyDescent="0.2">
      <c r="A50" s="42" t="s">
        <v>32</v>
      </c>
      <c r="B50" s="42"/>
      <c r="C50" s="42"/>
      <c r="D50" s="42"/>
      <c r="E50" s="16">
        <v>0</v>
      </c>
      <c r="F50" s="16">
        <v>0</v>
      </c>
      <c r="G50" s="16">
        <v>0</v>
      </c>
      <c r="H50" s="16">
        <v>27.43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f t="shared" si="8"/>
        <v>0</v>
      </c>
    </row>
    <row r="51" spans="1:17" x14ac:dyDescent="0.2">
      <c r="A51" s="43" t="s">
        <v>27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18">
        <f>SUM(Q46:Q50)</f>
        <v>88992736.679999992</v>
      </c>
    </row>
    <row r="52" spans="1:17" x14ac:dyDescent="0.2">
      <c r="A52" s="44">
        <f ca="1">TODAY()</f>
        <v>43879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6" spans="1:17" x14ac:dyDescent="0.2">
      <c r="A56" s="24" t="s">
        <v>57</v>
      </c>
      <c r="B56" s="24" t="s">
        <v>48</v>
      </c>
      <c r="C56" s="24"/>
      <c r="D56" s="24"/>
      <c r="E56" s="25">
        <f>E5+E7+E9+E11+E14+E18+E19+E21</f>
        <v>1133556.99</v>
      </c>
      <c r="F56" s="25">
        <f t="shared" ref="F56:P56" si="9">F5+F7+F9+F11+F14+F18+F19+F21</f>
        <v>1065102.25</v>
      </c>
      <c r="G56" s="25">
        <f t="shared" si="9"/>
        <v>1062653.43</v>
      </c>
      <c r="H56" s="25">
        <f t="shared" si="9"/>
        <v>507077.53</v>
      </c>
      <c r="I56" s="25">
        <f t="shared" si="9"/>
        <v>1881427.4</v>
      </c>
      <c r="J56" s="25">
        <f t="shared" si="9"/>
        <v>1243984.29</v>
      </c>
      <c r="K56" s="25">
        <f t="shared" si="9"/>
        <v>949735.7</v>
      </c>
      <c r="L56" s="25">
        <f t="shared" si="9"/>
        <v>1137239.72</v>
      </c>
      <c r="M56" s="25">
        <f t="shared" si="9"/>
        <v>1153516.17</v>
      </c>
      <c r="N56" s="25">
        <f t="shared" si="9"/>
        <v>1102392.3299999998</v>
      </c>
      <c r="O56" s="25">
        <f t="shared" si="9"/>
        <v>863293.19000000006</v>
      </c>
      <c r="P56" s="25">
        <f t="shared" si="9"/>
        <v>1561684.1500000004</v>
      </c>
      <c r="Q56" s="25"/>
    </row>
    <row r="57" spans="1:17" x14ac:dyDescent="0.2">
      <c r="A57" s="24" t="s">
        <v>58</v>
      </c>
      <c r="B57" s="24"/>
      <c r="C57" s="24"/>
      <c r="D57" s="24"/>
      <c r="E57" s="25">
        <f>E25+E27+E29+E31+E36</f>
        <v>1847254.73</v>
      </c>
      <c r="F57" s="25">
        <f t="shared" ref="F57:P57" si="10">F25+F27+F29+F31+F36</f>
        <v>1879161.6800000002</v>
      </c>
      <c r="G57" s="25">
        <f t="shared" si="10"/>
        <v>1897047.09</v>
      </c>
      <c r="H57" s="25">
        <f t="shared" si="10"/>
        <v>1930107.97</v>
      </c>
      <c r="I57" s="25">
        <f t="shared" si="10"/>
        <v>1963789.2100000002</v>
      </c>
      <c r="J57" s="25">
        <f t="shared" si="10"/>
        <v>1980539.3499999999</v>
      </c>
      <c r="K57" s="25">
        <f t="shared" si="10"/>
        <v>2002483.0899999999</v>
      </c>
      <c r="L57" s="25">
        <f t="shared" si="10"/>
        <v>2036428.7599999998</v>
      </c>
      <c r="M57" s="25">
        <f t="shared" si="10"/>
        <v>2064796.3099999998</v>
      </c>
      <c r="N57" s="25">
        <f t="shared" si="10"/>
        <v>2077085.81</v>
      </c>
      <c r="O57" s="25">
        <f t="shared" si="10"/>
        <v>2098663.29</v>
      </c>
      <c r="P57" s="25">
        <f t="shared" si="10"/>
        <v>4336711.0200000005</v>
      </c>
      <c r="Q57" s="25"/>
    </row>
    <row r="58" spans="1:17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x14ac:dyDescent="0.2">
      <c r="A59" s="24" t="s">
        <v>59</v>
      </c>
      <c r="B59" s="24" t="s">
        <v>49</v>
      </c>
      <c r="C59" s="24"/>
      <c r="D59" s="24"/>
      <c r="E59" s="25">
        <f>E6+E8+E12+E15</f>
        <v>1391046.48</v>
      </c>
      <c r="F59" s="25">
        <f t="shared" ref="F59:P59" si="11">F6+F8+F12+F15</f>
        <v>1374053.3099999998</v>
      </c>
      <c r="G59" s="25">
        <f t="shared" si="11"/>
        <v>1435989.04</v>
      </c>
      <c r="H59" s="25">
        <f t="shared" si="11"/>
        <v>410461.34</v>
      </c>
      <c r="I59" s="25">
        <f t="shared" si="11"/>
        <v>3229024.7699999996</v>
      </c>
      <c r="J59" s="25">
        <f t="shared" si="11"/>
        <v>2708062.87</v>
      </c>
      <c r="K59" s="25">
        <f t="shared" si="11"/>
        <v>1990398.2200000002</v>
      </c>
      <c r="L59" s="25">
        <f t="shared" si="11"/>
        <v>1264612.9099999999</v>
      </c>
      <c r="M59" s="25">
        <f t="shared" si="11"/>
        <v>2259159.4700000002</v>
      </c>
      <c r="N59" s="25">
        <f t="shared" si="11"/>
        <v>2871728.6</v>
      </c>
      <c r="O59" s="25">
        <f t="shared" si="11"/>
        <v>1240037.2000000002</v>
      </c>
      <c r="P59" s="25">
        <f t="shared" si="11"/>
        <v>2977572.7199999997</v>
      </c>
      <c r="Q59" s="24"/>
    </row>
    <row r="60" spans="1:17" x14ac:dyDescent="0.2">
      <c r="A60" s="24" t="s">
        <v>60</v>
      </c>
      <c r="B60" s="24"/>
      <c r="C60" s="24"/>
      <c r="D60" s="24"/>
      <c r="E60" s="25">
        <f>E26+E28+E30+E32+E34</f>
        <v>106547.58</v>
      </c>
      <c r="F60" s="25">
        <f t="shared" ref="F60:P60" si="12">F26+F28+F30+F32+F34</f>
        <v>125345.16</v>
      </c>
      <c r="G60" s="25">
        <f t="shared" si="12"/>
        <v>159769.65</v>
      </c>
      <c r="H60" s="25">
        <f t="shared" si="12"/>
        <v>24150.93</v>
      </c>
      <c r="I60" s="25">
        <f t="shared" si="12"/>
        <v>281993.19999999995</v>
      </c>
      <c r="J60" s="25">
        <f t="shared" si="12"/>
        <v>176010.99</v>
      </c>
      <c r="K60" s="25">
        <f t="shared" si="12"/>
        <v>154256.19</v>
      </c>
      <c r="L60" s="25">
        <f t="shared" si="12"/>
        <v>143425.51</v>
      </c>
      <c r="M60" s="25">
        <f t="shared" si="12"/>
        <v>142133.83000000002</v>
      </c>
      <c r="N60" s="25">
        <f t="shared" si="12"/>
        <v>144766.86000000002</v>
      </c>
      <c r="O60" s="25">
        <f t="shared" si="12"/>
        <v>132129.81</v>
      </c>
      <c r="P60" s="25">
        <f t="shared" si="12"/>
        <v>166482.09</v>
      </c>
      <c r="Q60" s="24"/>
    </row>
    <row r="61" spans="1:17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x14ac:dyDescent="0.2">
      <c r="A62" s="24" t="s">
        <v>67</v>
      </c>
      <c r="B62" s="24"/>
      <c r="C62" s="24"/>
      <c r="D62" s="24"/>
      <c r="E62" s="25">
        <f>E41+E42+E43</f>
        <v>23186781.509999998</v>
      </c>
      <c r="F62" s="25">
        <f t="shared" ref="F62:P62" si="13">F41+F42+F43</f>
        <v>22294751</v>
      </c>
      <c r="G62" s="25">
        <f t="shared" si="13"/>
        <v>21348855.869999997</v>
      </c>
      <c r="H62" s="25">
        <f t="shared" si="13"/>
        <v>19919996.370000001</v>
      </c>
      <c r="I62" s="25">
        <f t="shared" si="13"/>
        <v>19656293.310000002</v>
      </c>
      <c r="J62" s="25">
        <f t="shared" si="13"/>
        <v>18842029.390000001</v>
      </c>
      <c r="K62" s="25">
        <f t="shared" si="13"/>
        <v>17701908.370000001</v>
      </c>
      <c r="L62" s="25">
        <f t="shared" si="13"/>
        <v>16689948</v>
      </c>
      <c r="M62" s="25">
        <f t="shared" si="13"/>
        <v>15689078.6</v>
      </c>
      <c r="N62" s="25">
        <f t="shared" si="13"/>
        <v>14618420.15</v>
      </c>
      <c r="O62" s="25">
        <f t="shared" si="13"/>
        <v>13149706.679999998</v>
      </c>
      <c r="P62" s="25">
        <f t="shared" si="13"/>
        <v>10323695.289999999</v>
      </c>
      <c r="Q62" s="24"/>
    </row>
    <row r="63" spans="1:17" x14ac:dyDescent="0.2">
      <c r="A63" s="24" t="s">
        <v>66</v>
      </c>
      <c r="B63" s="24"/>
      <c r="C63" s="24"/>
      <c r="D63" s="24"/>
      <c r="E63" s="25">
        <f>E46+E47+E50</f>
        <v>69653342.629999995</v>
      </c>
      <c r="F63" s="25">
        <f t="shared" ref="F63:P63" si="14">F46+F47+F50</f>
        <v>70902302.370000005</v>
      </c>
      <c r="G63" s="25">
        <f t="shared" si="14"/>
        <v>72178521.760000005</v>
      </c>
      <c r="H63" s="25">
        <f t="shared" si="14"/>
        <v>72561436.409999996</v>
      </c>
      <c r="I63" s="25">
        <f t="shared" si="14"/>
        <v>75508467.980000004</v>
      </c>
      <c r="J63" s="25">
        <f t="shared" si="14"/>
        <v>78040519.859999999</v>
      </c>
      <c r="K63" s="25">
        <f t="shared" si="14"/>
        <v>79876661.890000001</v>
      </c>
      <c r="L63" s="25">
        <f t="shared" si="14"/>
        <v>80848882.340000004</v>
      </c>
      <c r="M63" s="25">
        <f t="shared" si="14"/>
        <v>82965907.980000004</v>
      </c>
      <c r="N63" s="25">
        <f t="shared" si="14"/>
        <v>85680027.299999997</v>
      </c>
      <c r="O63" s="25">
        <f t="shared" si="14"/>
        <v>86180997.359999999</v>
      </c>
      <c r="P63" s="25">
        <f t="shared" si="14"/>
        <v>88892534.489999995</v>
      </c>
      <c r="Q63" s="24"/>
    </row>
  </sheetData>
  <mergeCells count="60">
    <mergeCell ref="A1:Q2"/>
    <mergeCell ref="A10:Q10"/>
    <mergeCell ref="A13:Q13"/>
    <mergeCell ref="A20:Q20"/>
    <mergeCell ref="A3:D4"/>
    <mergeCell ref="E3:E4"/>
    <mergeCell ref="F3:F4"/>
    <mergeCell ref="Q3:Q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9:D19"/>
    <mergeCell ref="A5:D5"/>
    <mergeCell ref="A6:D6"/>
    <mergeCell ref="A7:D7"/>
    <mergeCell ref="A8:D8"/>
    <mergeCell ref="A9:D9"/>
    <mergeCell ref="A11:D11"/>
    <mergeCell ref="A12:D12"/>
    <mergeCell ref="A14:D14"/>
    <mergeCell ref="A15:D15"/>
    <mergeCell ref="A16:Q17"/>
    <mergeCell ref="A18:D18"/>
    <mergeCell ref="A33:D33"/>
    <mergeCell ref="A21:D21"/>
    <mergeCell ref="A22:D22"/>
    <mergeCell ref="A23:Q24"/>
    <mergeCell ref="A25:D25"/>
    <mergeCell ref="A26:D26"/>
    <mergeCell ref="A27:D27"/>
    <mergeCell ref="A28:D28"/>
    <mergeCell ref="A29:D29"/>
    <mergeCell ref="A30:D30"/>
    <mergeCell ref="A31:D31"/>
    <mergeCell ref="A32:D32"/>
    <mergeCell ref="A47:D47"/>
    <mergeCell ref="A34:D34"/>
    <mergeCell ref="A36:D36"/>
    <mergeCell ref="A37:D37"/>
    <mergeCell ref="A38:Q39"/>
    <mergeCell ref="A40:Q40"/>
    <mergeCell ref="A41:D41"/>
    <mergeCell ref="A42:D42"/>
    <mergeCell ref="A43:D43"/>
    <mergeCell ref="A44:P44"/>
    <mergeCell ref="A45:Q45"/>
    <mergeCell ref="A46:D46"/>
    <mergeCell ref="A35:D35"/>
    <mergeCell ref="A48:D48"/>
    <mergeCell ref="A49:D49"/>
    <mergeCell ref="A50:D50"/>
    <mergeCell ref="A51:P51"/>
    <mergeCell ref="A52:Q52"/>
  </mergeCells>
  <pageMargins left="0.51181102362204722" right="0.51181102362204722" top="0.51181102362204722" bottom="0.59055118110236227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workbookViewId="0">
      <selection sqref="A1:Q1"/>
    </sheetView>
  </sheetViews>
  <sheetFormatPr defaultRowHeight="15" x14ac:dyDescent="0.25"/>
  <cols>
    <col min="4" max="4" width="16.5703125" customWidth="1"/>
    <col min="5" max="7" width="10.42578125" bestFit="1" customWidth="1"/>
    <col min="8" max="8" width="11" bestFit="1" customWidth="1"/>
    <col min="9" max="10" width="10.42578125" bestFit="1" customWidth="1"/>
    <col min="11" max="11" width="11" bestFit="1" customWidth="1"/>
    <col min="12" max="12" width="10.42578125" bestFit="1" customWidth="1"/>
    <col min="13" max="16" width="11" bestFit="1" customWidth="1"/>
    <col min="17" max="17" width="11.85546875" bestFit="1" customWidth="1"/>
  </cols>
  <sheetData>
    <row r="1" spans="1:17" ht="35.25" customHeight="1" x14ac:dyDescent="0.3">
      <c r="A1" s="58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46" t="s">
        <v>9</v>
      </c>
      <c r="B2" s="46"/>
      <c r="C2" s="46"/>
      <c r="D2" s="46"/>
      <c r="E2" s="47" t="s">
        <v>41</v>
      </c>
      <c r="F2" s="47" t="s">
        <v>42</v>
      </c>
      <c r="G2" s="47" t="s">
        <v>43</v>
      </c>
      <c r="H2" s="47" t="s">
        <v>36</v>
      </c>
      <c r="I2" s="47" t="s">
        <v>37</v>
      </c>
      <c r="J2" s="47" t="s">
        <v>38</v>
      </c>
      <c r="K2" s="47" t="s">
        <v>2</v>
      </c>
      <c r="L2" s="47" t="s">
        <v>3</v>
      </c>
      <c r="M2" s="47" t="s">
        <v>4</v>
      </c>
      <c r="N2" s="47" t="s">
        <v>29</v>
      </c>
      <c r="O2" s="47" t="s">
        <v>30</v>
      </c>
      <c r="P2" s="47" t="s">
        <v>31</v>
      </c>
      <c r="Q2" s="47" t="s">
        <v>27</v>
      </c>
    </row>
    <row r="3" spans="1:17" x14ac:dyDescent="0.25">
      <c r="A3" s="46"/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5">
      <c r="A4" s="42" t="s">
        <v>52</v>
      </c>
      <c r="B4" s="42"/>
      <c r="C4" s="42"/>
      <c r="D4" s="42"/>
      <c r="E4" s="16">
        <f>Geral!E5</f>
        <v>253216.4</v>
      </c>
      <c r="F4" s="16">
        <f>Geral!F5</f>
        <v>252169.63</v>
      </c>
      <c r="G4" s="16">
        <f>Geral!G5</f>
        <v>250838.86</v>
      </c>
      <c r="H4" s="16">
        <f>Geral!H5</f>
        <v>0</v>
      </c>
      <c r="I4" s="16">
        <f>Geral!I5</f>
        <v>493784.31</v>
      </c>
      <c r="J4" s="16">
        <f>Geral!J5</f>
        <v>240513.49</v>
      </c>
      <c r="K4" s="16">
        <f>Geral!K5</f>
        <v>240261.61</v>
      </c>
      <c r="L4" s="16">
        <f>Geral!L5</f>
        <v>239999.58</v>
      </c>
      <c r="M4" s="16">
        <f>Geral!M5</f>
        <v>232634.93</v>
      </c>
      <c r="N4" s="16">
        <f>Geral!N5</f>
        <v>232490.49</v>
      </c>
      <c r="O4" s="16">
        <f>Geral!O5</f>
        <v>225670.19</v>
      </c>
      <c r="P4" s="16">
        <f>Geral!P5</f>
        <v>445678.89</v>
      </c>
      <c r="Q4" s="16">
        <f>SUM(E4:P4)</f>
        <v>3107258.38</v>
      </c>
    </row>
    <row r="5" spans="1:17" x14ac:dyDescent="0.25">
      <c r="A5" s="42" t="s">
        <v>44</v>
      </c>
      <c r="B5" s="42"/>
      <c r="C5" s="42"/>
      <c r="D5" s="42"/>
      <c r="E5" s="16">
        <f>Geral!E7</f>
        <v>3087.55</v>
      </c>
      <c r="F5" s="16">
        <f>Geral!F7</f>
        <v>3265.03</v>
      </c>
      <c r="G5" s="16">
        <f>Geral!G7</f>
        <v>3291.96</v>
      </c>
      <c r="H5" s="16">
        <f>Geral!H7</f>
        <v>3353.6</v>
      </c>
      <c r="I5" s="16">
        <f>Geral!I7</f>
        <v>3403.89</v>
      </c>
      <c r="J5" s="16">
        <f>Geral!J7</f>
        <v>3403.89</v>
      </c>
      <c r="K5" s="16">
        <f>Geral!K7</f>
        <v>3403.89</v>
      </c>
      <c r="L5" s="16">
        <f>Geral!L7</f>
        <v>3418.14</v>
      </c>
      <c r="M5" s="16">
        <f>Geral!M7</f>
        <v>4077.63</v>
      </c>
      <c r="N5" s="16">
        <f>Geral!N7</f>
        <v>4184.3599999999997</v>
      </c>
      <c r="O5" s="16">
        <f>Geral!O7</f>
        <v>4293.53</v>
      </c>
      <c r="P5" s="16">
        <f>Geral!P7</f>
        <v>7837.75</v>
      </c>
      <c r="Q5" s="16">
        <f t="shared" ref="Q5:Q8" si="0">SUM(E5:P5)</f>
        <v>47021.22</v>
      </c>
    </row>
    <row r="6" spans="1:17" x14ac:dyDescent="0.25">
      <c r="A6" s="42" t="s">
        <v>46</v>
      </c>
      <c r="B6" s="42"/>
      <c r="C6" s="42"/>
      <c r="D6" s="42"/>
      <c r="E6" s="16">
        <f>Geral!E9</f>
        <v>297.47000000000003</v>
      </c>
      <c r="F6" s="16">
        <f>Geral!F9</f>
        <v>297.47000000000003</v>
      </c>
      <c r="G6" s="16">
        <f>Geral!G9</f>
        <v>297.47000000000003</v>
      </c>
      <c r="H6" s="16">
        <f>Geral!H9</f>
        <v>297.47000000000003</v>
      </c>
      <c r="I6" s="16">
        <f>Geral!I9</f>
        <v>297.47000000000003</v>
      </c>
      <c r="J6" s="16">
        <f>Geral!J9</f>
        <v>297.47000000000003</v>
      </c>
      <c r="K6" s="16">
        <f>Geral!K9</f>
        <v>297.47000000000003</v>
      </c>
      <c r="L6" s="16">
        <f>Geral!L9</f>
        <v>297.47000000000003</v>
      </c>
      <c r="M6" s="16">
        <f>Geral!M9</f>
        <v>297.47000000000003</v>
      </c>
      <c r="N6" s="16">
        <f>Geral!N9</f>
        <v>297.47000000000003</v>
      </c>
      <c r="O6" s="16">
        <f>Geral!O9</f>
        <v>297.47000000000003</v>
      </c>
      <c r="P6" s="16">
        <f>Geral!P9</f>
        <v>594.94000000000005</v>
      </c>
      <c r="Q6" s="16">
        <f t="shared" si="0"/>
        <v>3867.110000000001</v>
      </c>
    </row>
    <row r="7" spans="1:17" x14ac:dyDescent="0.25">
      <c r="A7" s="42" t="s">
        <v>53</v>
      </c>
      <c r="B7" s="42"/>
      <c r="C7" s="42"/>
      <c r="D7" s="42"/>
      <c r="E7" s="16">
        <f>Geral!E11</f>
        <v>405369.64</v>
      </c>
      <c r="F7" s="16">
        <f>Geral!F11</f>
        <v>403675.61</v>
      </c>
      <c r="G7" s="16">
        <f>Geral!G11</f>
        <v>401549.05</v>
      </c>
      <c r="H7" s="16">
        <f>Geral!H11</f>
        <v>0</v>
      </c>
      <c r="I7" s="16">
        <f>Geral!I11</f>
        <v>790486.4</v>
      </c>
      <c r="J7" s="16">
        <f>Geral!J11</f>
        <v>385040.45</v>
      </c>
      <c r="K7" s="16">
        <f>Geral!K11</f>
        <v>380705.56</v>
      </c>
      <c r="L7" s="16">
        <f>Geral!L11</f>
        <v>380278.64</v>
      </c>
      <c r="M7" s="16">
        <f>Geral!M11</f>
        <v>368591.52</v>
      </c>
      <c r="N7" s="16">
        <f>Geral!N11</f>
        <v>372196.1</v>
      </c>
      <c r="O7" s="16">
        <f>Geral!O11</f>
        <v>361277.68</v>
      </c>
      <c r="P7" s="16">
        <f>Geral!P11</f>
        <v>713465.3</v>
      </c>
      <c r="Q7" s="16">
        <f t="shared" si="0"/>
        <v>4962635.95</v>
      </c>
    </row>
    <row r="8" spans="1:17" x14ac:dyDescent="0.25">
      <c r="A8" s="42" t="s">
        <v>33</v>
      </c>
      <c r="B8" s="42"/>
      <c r="C8" s="42"/>
      <c r="D8" s="42"/>
      <c r="E8" s="16">
        <f>Geral!E14</f>
        <v>170757.71</v>
      </c>
      <c r="F8" s="16">
        <f>Geral!F14</f>
        <v>100566.76</v>
      </c>
      <c r="G8" s="16">
        <f>Geral!G14</f>
        <v>100049.7</v>
      </c>
      <c r="H8" s="16">
        <f>Geral!H14</f>
        <v>193497.31</v>
      </c>
      <c r="I8" s="16">
        <f>Geral!I14</f>
        <v>478527.96</v>
      </c>
      <c r="J8" s="16">
        <f>Geral!J14</f>
        <v>498526.68</v>
      </c>
      <c r="K8" s="16">
        <f>Geral!K14</f>
        <v>208448.95</v>
      </c>
      <c r="L8" s="16">
        <f>Geral!L14</f>
        <v>3715.59</v>
      </c>
      <c r="M8" s="16">
        <f>Geral!M14</f>
        <v>332499.59999999998</v>
      </c>
      <c r="N8" s="16">
        <f>Geral!N14</f>
        <v>277389.52</v>
      </c>
      <c r="O8" s="16">
        <f>Geral!O14</f>
        <v>1806.4</v>
      </c>
      <c r="P8" s="16">
        <f>Geral!P14</f>
        <v>77389.350000000006</v>
      </c>
      <c r="Q8" s="16">
        <f t="shared" si="0"/>
        <v>2443175.5299999998</v>
      </c>
    </row>
    <row r="9" spans="1:17" x14ac:dyDescent="0.2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x14ac:dyDescent="0.25">
      <c r="A11" s="42" t="s">
        <v>6</v>
      </c>
      <c r="B11" s="42"/>
      <c r="C11" s="42"/>
      <c r="D11" s="42"/>
      <c r="E11" s="16">
        <f>Geral!E18</f>
        <v>111249.16</v>
      </c>
      <c r="F11" s="16">
        <f>Geral!F18</f>
        <v>111809.1</v>
      </c>
      <c r="G11" s="16">
        <f>Geral!G18</f>
        <v>112619.99</v>
      </c>
      <c r="H11" s="16">
        <f>Geral!H18</f>
        <v>114514.54</v>
      </c>
      <c r="I11" s="16">
        <f>Geral!I18</f>
        <v>114927.37</v>
      </c>
      <c r="J11" s="16">
        <f>Geral!J18</f>
        <v>116202.31</v>
      </c>
      <c r="K11" s="16">
        <f>Geral!K18</f>
        <v>116618.22</v>
      </c>
      <c r="L11" s="16">
        <f>Geral!L18</f>
        <v>117165.7</v>
      </c>
      <c r="M11" s="16">
        <f>Geral!M18</f>
        <v>117722.9</v>
      </c>
      <c r="N11" s="16">
        <f>Geral!N18</f>
        <v>118077.95</v>
      </c>
      <c r="O11" s="16">
        <f>Geral!O18</f>
        <v>118547.79</v>
      </c>
      <c r="P11" s="16">
        <f>Geral!P18</f>
        <v>119605.1</v>
      </c>
      <c r="Q11" s="16">
        <f>SUM(E11:P11)</f>
        <v>1389060.1300000001</v>
      </c>
    </row>
    <row r="12" spans="1:17" x14ac:dyDescent="0.25">
      <c r="A12" s="42" t="s">
        <v>7</v>
      </c>
      <c r="B12" s="42"/>
      <c r="C12" s="42"/>
      <c r="D12" s="42"/>
      <c r="E12" s="16">
        <f>Geral!E19</f>
        <v>94354.6</v>
      </c>
      <c r="F12" s="16">
        <f>Geral!F19</f>
        <v>94829.51</v>
      </c>
      <c r="G12" s="16">
        <f>Geral!G19</f>
        <v>95517.26</v>
      </c>
      <c r="H12" s="16">
        <f>Geral!H19</f>
        <v>97124.09</v>
      </c>
      <c r="I12" s="16">
        <f>Geral!I19</f>
        <v>0</v>
      </c>
      <c r="J12" s="16">
        <f>Geral!J19</f>
        <v>0</v>
      </c>
      <c r="K12" s="16">
        <f>Geral!K19</f>
        <v>0</v>
      </c>
      <c r="L12" s="16">
        <f>Geral!L19</f>
        <v>0</v>
      </c>
      <c r="M12" s="16">
        <f>Geral!M19</f>
        <v>0</v>
      </c>
      <c r="N12" s="16">
        <f>Geral!N19</f>
        <v>0</v>
      </c>
      <c r="O12" s="16">
        <f>Geral!O19</f>
        <v>0</v>
      </c>
      <c r="P12" s="16">
        <f>Geral!P19</f>
        <v>0</v>
      </c>
      <c r="Q12" s="16">
        <f t="shared" ref="Q12:Q14" si="1">SUM(E12:P12)</f>
        <v>381825.45999999996</v>
      </c>
    </row>
    <row r="13" spans="1:17" x14ac:dyDescent="0.25">
      <c r="A13" s="42" t="s">
        <v>39</v>
      </c>
      <c r="B13" s="42"/>
      <c r="C13" s="42"/>
      <c r="D13" s="42"/>
      <c r="E13" s="16">
        <f>Geral!E21</f>
        <v>95224.46</v>
      </c>
      <c r="F13" s="16">
        <f>Geral!F21</f>
        <v>98489.14</v>
      </c>
      <c r="G13" s="16">
        <f>Geral!G21</f>
        <v>98489.14</v>
      </c>
      <c r="H13" s="16">
        <f>Geral!H21</f>
        <v>98290.52</v>
      </c>
      <c r="I13" s="16">
        <f>Geral!I21</f>
        <v>0</v>
      </c>
      <c r="J13" s="16">
        <f>Geral!J21</f>
        <v>0</v>
      </c>
      <c r="K13" s="16">
        <f>Geral!K21</f>
        <v>0</v>
      </c>
      <c r="L13" s="16">
        <f>Geral!L21</f>
        <v>392364.6</v>
      </c>
      <c r="M13" s="16">
        <f>Geral!M21</f>
        <v>97692.12</v>
      </c>
      <c r="N13" s="16">
        <f>Geral!N21</f>
        <v>97756.44</v>
      </c>
      <c r="O13" s="16">
        <f>Geral!O21</f>
        <v>151400.13</v>
      </c>
      <c r="P13" s="16">
        <f>Geral!P21</f>
        <v>197112.82</v>
      </c>
      <c r="Q13" s="16">
        <f t="shared" si="1"/>
        <v>1326819.3699999999</v>
      </c>
    </row>
    <row r="14" spans="1:17" x14ac:dyDescent="0.25">
      <c r="A14" s="43" t="s">
        <v>27</v>
      </c>
      <c r="B14" s="43"/>
      <c r="C14" s="43"/>
      <c r="D14" s="43"/>
      <c r="E14" s="18">
        <f>E4+E5+E6+E7+E8+E11+E12+E13</f>
        <v>1133556.99</v>
      </c>
      <c r="F14" s="18">
        <f t="shared" ref="F14:P14" si="2">F4+F5+F6+F7+F8+F11+F12+F13</f>
        <v>1065102.25</v>
      </c>
      <c r="G14" s="18">
        <f t="shared" si="2"/>
        <v>1062653.43</v>
      </c>
      <c r="H14" s="18">
        <f t="shared" si="2"/>
        <v>507077.53</v>
      </c>
      <c r="I14" s="18">
        <f t="shared" si="2"/>
        <v>1881427.4</v>
      </c>
      <c r="J14" s="18">
        <f t="shared" si="2"/>
        <v>1243984.29</v>
      </c>
      <c r="K14" s="18">
        <f t="shared" si="2"/>
        <v>949735.7</v>
      </c>
      <c r="L14" s="18">
        <f t="shared" si="2"/>
        <v>1137239.72</v>
      </c>
      <c r="M14" s="18">
        <f t="shared" si="2"/>
        <v>1153516.17</v>
      </c>
      <c r="N14" s="18">
        <f t="shared" si="2"/>
        <v>1102392.3299999998</v>
      </c>
      <c r="O14" s="18">
        <f t="shared" si="2"/>
        <v>863293.19000000006</v>
      </c>
      <c r="P14" s="18">
        <f t="shared" si="2"/>
        <v>1561684.1500000004</v>
      </c>
      <c r="Q14" s="18">
        <f t="shared" si="1"/>
        <v>13661663.15</v>
      </c>
    </row>
    <row r="15" spans="1:17" x14ac:dyDescent="0.25">
      <c r="A15" s="70" t="s">
        <v>10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17" x14ac:dyDescent="0.2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17" x14ac:dyDescent="0.25">
      <c r="A17" s="42" t="s">
        <v>11</v>
      </c>
      <c r="B17" s="42"/>
      <c r="C17" s="42"/>
      <c r="D17" s="42"/>
      <c r="E17" s="16">
        <f>Geral!E25</f>
        <v>1565414.42</v>
      </c>
      <c r="F17" s="16">
        <f>Geral!F25</f>
        <v>1595075.09</v>
      </c>
      <c r="G17" s="16">
        <f>Geral!G25</f>
        <v>1612960.5</v>
      </c>
      <c r="H17" s="16">
        <f>Geral!H25</f>
        <v>1648267.66</v>
      </c>
      <c r="I17" s="16">
        <f>Geral!I25</f>
        <v>1678454.34</v>
      </c>
      <c r="J17" s="16">
        <f>Geral!J25</f>
        <v>1693084.18</v>
      </c>
      <c r="K17" s="16">
        <f>Geral!K25</f>
        <v>1709219.83</v>
      </c>
      <c r="L17" s="16">
        <f>Geral!L25</f>
        <v>1742841.75</v>
      </c>
      <c r="M17" s="16">
        <f>Geral!M25</f>
        <v>1777391.38</v>
      </c>
      <c r="N17" s="16">
        <f>Geral!N25</f>
        <v>1787424.83</v>
      </c>
      <c r="O17" s="16">
        <f>Geral!O25</f>
        <v>1809889.23</v>
      </c>
      <c r="P17" s="16">
        <f>Geral!P25</f>
        <v>3515413.37</v>
      </c>
      <c r="Q17" s="16">
        <f>SUM(E17:P17)</f>
        <v>22135436.579999998</v>
      </c>
    </row>
    <row r="18" spans="1:17" x14ac:dyDescent="0.25">
      <c r="A18" s="42" t="s">
        <v>13</v>
      </c>
      <c r="B18" s="42"/>
      <c r="C18" s="42"/>
      <c r="D18" s="42"/>
      <c r="E18" s="16">
        <f>Geral!E27</f>
        <v>281840.31</v>
      </c>
      <c r="F18" s="16">
        <f>Geral!F27</f>
        <v>281840.31</v>
      </c>
      <c r="G18" s="16">
        <f>Geral!G27</f>
        <v>281840.31</v>
      </c>
      <c r="H18" s="16">
        <f>Geral!H27</f>
        <v>281840.31</v>
      </c>
      <c r="I18" s="16">
        <f>Geral!I27</f>
        <v>280842.31</v>
      </c>
      <c r="J18" s="16">
        <f>Geral!J27</f>
        <v>287455.17</v>
      </c>
      <c r="K18" s="16">
        <f>Geral!K27</f>
        <v>288568.88</v>
      </c>
      <c r="L18" s="16">
        <f>Geral!L27</f>
        <v>288568.88</v>
      </c>
      <c r="M18" s="16">
        <f>Geral!M27</f>
        <v>282386.8</v>
      </c>
      <c r="N18" s="16">
        <f>Geral!N27</f>
        <v>284804.73</v>
      </c>
      <c r="O18" s="16">
        <f>Geral!O27</f>
        <v>288774.06</v>
      </c>
      <c r="P18" s="16">
        <f>Geral!P27</f>
        <v>568503.6</v>
      </c>
      <c r="Q18" s="16">
        <f t="shared" ref="Q18:Q24" si="3">SUM(E18:P18)</f>
        <v>3697265.67</v>
      </c>
    </row>
    <row r="19" spans="1:17" x14ac:dyDescent="0.25">
      <c r="A19" s="45" t="s">
        <v>15</v>
      </c>
      <c r="B19" s="45"/>
      <c r="C19" s="45"/>
      <c r="D19" s="45"/>
      <c r="E19" s="16">
        <f>Geral!E29</f>
        <v>0</v>
      </c>
      <c r="F19" s="16">
        <f>Geral!F29</f>
        <v>0</v>
      </c>
      <c r="G19" s="16">
        <f>Geral!G29</f>
        <v>0</v>
      </c>
      <c r="H19" s="16">
        <f>Geral!H29</f>
        <v>0</v>
      </c>
      <c r="I19" s="16">
        <f>Geral!I29</f>
        <v>0</v>
      </c>
      <c r="J19" s="16">
        <f>Geral!J29</f>
        <v>0</v>
      </c>
      <c r="K19" s="16">
        <f>Geral!K29</f>
        <v>0</v>
      </c>
      <c r="L19" s="16">
        <f>Geral!L29</f>
        <v>0</v>
      </c>
      <c r="M19" s="16">
        <f>Geral!M29</f>
        <v>0</v>
      </c>
      <c r="N19" s="16">
        <f>Geral!N29</f>
        <v>0</v>
      </c>
      <c r="O19" s="16">
        <f>Geral!O29</f>
        <v>0</v>
      </c>
      <c r="P19" s="16">
        <f>Geral!P29</f>
        <v>0</v>
      </c>
      <c r="Q19" s="16">
        <f t="shared" si="3"/>
        <v>0</v>
      </c>
    </row>
    <row r="20" spans="1:17" x14ac:dyDescent="0.25">
      <c r="A20" s="45" t="s">
        <v>17</v>
      </c>
      <c r="B20" s="45"/>
      <c r="C20" s="45"/>
      <c r="D20" s="45"/>
      <c r="E20" s="16">
        <f>Geral!E31</f>
        <v>0</v>
      </c>
      <c r="F20" s="16">
        <f>Geral!F31</f>
        <v>2246.2800000000002</v>
      </c>
      <c r="G20" s="16">
        <f>Geral!G31</f>
        <v>2246.2800000000002</v>
      </c>
      <c r="H20" s="16">
        <f>Geral!H31</f>
        <v>0</v>
      </c>
      <c r="I20" s="16">
        <f>Geral!I31</f>
        <v>4492.5600000000004</v>
      </c>
      <c r="J20" s="16">
        <f>Geral!J31</f>
        <v>0</v>
      </c>
      <c r="K20" s="16">
        <f>Geral!K31</f>
        <v>4694.38</v>
      </c>
      <c r="L20" s="16">
        <f>Geral!L31</f>
        <v>5018.13</v>
      </c>
      <c r="M20" s="16">
        <f>Geral!M31</f>
        <v>5018.13</v>
      </c>
      <c r="N20" s="16">
        <f>Geral!N31</f>
        <v>4856.25</v>
      </c>
      <c r="O20" s="16">
        <f>Geral!O31</f>
        <v>0</v>
      </c>
      <c r="P20" s="16">
        <f>Geral!P31</f>
        <v>0</v>
      </c>
      <c r="Q20" s="16">
        <f t="shared" si="3"/>
        <v>28572.010000000002</v>
      </c>
    </row>
    <row r="21" spans="1:17" x14ac:dyDescent="0.25">
      <c r="A21" s="45" t="s">
        <v>19</v>
      </c>
      <c r="B21" s="45"/>
      <c r="C21" s="45"/>
      <c r="D21" s="45"/>
      <c r="E21" s="16">
        <f>Geral!E33</f>
        <v>76684.490000000005</v>
      </c>
      <c r="F21" s="16">
        <f>Geral!F33</f>
        <v>68494.67</v>
      </c>
      <c r="G21" s="16">
        <f>Geral!G33</f>
        <v>90423.08</v>
      </c>
      <c r="H21" s="16">
        <f>Geral!H33</f>
        <v>0</v>
      </c>
      <c r="I21" s="16">
        <f>Geral!I33</f>
        <v>172116.43</v>
      </c>
      <c r="J21" s="16">
        <f>Geral!J33</f>
        <v>78725.929999999993</v>
      </c>
      <c r="K21" s="16">
        <f>Geral!K33</f>
        <v>67167.679999999993</v>
      </c>
      <c r="L21" s="16">
        <f>Geral!L33</f>
        <v>72316.22</v>
      </c>
      <c r="M21" s="16">
        <f>Geral!M33</f>
        <v>79994.820000000007</v>
      </c>
      <c r="N21" s="16">
        <f>Geral!N33</f>
        <v>86370.53</v>
      </c>
      <c r="O21" s="16">
        <f>Geral!O33</f>
        <v>93665.18</v>
      </c>
      <c r="P21" s="16">
        <f>Geral!P33</f>
        <v>81715.460000000006</v>
      </c>
      <c r="Q21" s="16">
        <f t="shared" si="3"/>
        <v>967674.49</v>
      </c>
    </row>
    <row r="22" spans="1:17" x14ac:dyDescent="0.25">
      <c r="A22" s="45" t="s">
        <v>8</v>
      </c>
      <c r="B22" s="45"/>
      <c r="C22" s="45"/>
      <c r="D22" s="45"/>
      <c r="E22" s="16">
        <f>Geral!E35</f>
        <v>8919.17</v>
      </c>
      <c r="F22" s="16">
        <f>Geral!F35</f>
        <v>9224.82</v>
      </c>
      <c r="G22" s="16">
        <f>Geral!G35</f>
        <v>9224.82</v>
      </c>
      <c r="H22" s="16">
        <f>Geral!H35</f>
        <v>9224.82</v>
      </c>
      <c r="I22" s="16">
        <f>Geral!I35</f>
        <v>9224.82</v>
      </c>
      <c r="J22" s="16">
        <f>Geral!J35</f>
        <v>9594.44</v>
      </c>
      <c r="K22" s="16">
        <f>Geral!K35</f>
        <v>9594.44</v>
      </c>
      <c r="L22" s="16">
        <f>Geral!L35</f>
        <v>9594.44</v>
      </c>
      <c r="M22" s="16">
        <f>Geral!M35</f>
        <v>9594.44</v>
      </c>
      <c r="N22" s="16">
        <f>Geral!N35</f>
        <v>9594.44</v>
      </c>
      <c r="O22" s="16">
        <f>Geral!O35</f>
        <v>10732.14</v>
      </c>
      <c r="P22" s="16">
        <f>Geral!P35</f>
        <v>19269.060000000001</v>
      </c>
      <c r="Q22" s="16">
        <f t="shared" si="3"/>
        <v>123791.85</v>
      </c>
    </row>
    <row r="23" spans="1:17" x14ac:dyDescent="0.25">
      <c r="A23" s="45" t="s">
        <v>68</v>
      </c>
      <c r="B23" s="45"/>
      <c r="C23" s="45"/>
      <c r="D23" s="45"/>
      <c r="E23" s="16">
        <f>Geral!E36</f>
        <v>0</v>
      </c>
      <c r="F23" s="16">
        <f>Geral!F36</f>
        <v>0</v>
      </c>
      <c r="G23" s="16">
        <f>Geral!G36</f>
        <v>0</v>
      </c>
      <c r="H23" s="16">
        <f>Geral!H36</f>
        <v>0</v>
      </c>
      <c r="I23" s="16">
        <f>Geral!I36</f>
        <v>0</v>
      </c>
      <c r="J23" s="16">
        <f>Geral!J36</f>
        <v>0</v>
      </c>
      <c r="K23" s="16">
        <f>Geral!K36</f>
        <v>0</v>
      </c>
      <c r="L23" s="16">
        <f>Geral!L36</f>
        <v>0</v>
      </c>
      <c r="M23" s="16">
        <f>Geral!M36</f>
        <v>0</v>
      </c>
      <c r="N23" s="16">
        <f>Geral!N36</f>
        <v>0</v>
      </c>
      <c r="O23" s="16">
        <f>Geral!O36</f>
        <v>0</v>
      </c>
      <c r="P23" s="16">
        <f>Geral!P36</f>
        <v>252794.05</v>
      </c>
      <c r="Q23" s="16">
        <f t="shared" si="3"/>
        <v>252794.05</v>
      </c>
    </row>
    <row r="24" spans="1:17" x14ac:dyDescent="0.25">
      <c r="A24" s="43" t="s">
        <v>27</v>
      </c>
      <c r="B24" s="43"/>
      <c r="C24" s="43"/>
      <c r="D24" s="43"/>
      <c r="E24" s="18">
        <f>SUM(E17:E23)</f>
        <v>1932858.39</v>
      </c>
      <c r="F24" s="18">
        <f t="shared" ref="F24:P24" si="4">SUM(F17:F23)</f>
        <v>1956881.1700000002</v>
      </c>
      <c r="G24" s="18">
        <f t="shared" si="4"/>
        <v>1996694.9900000002</v>
      </c>
      <c r="H24" s="18">
        <f t="shared" si="4"/>
        <v>1939332.79</v>
      </c>
      <c r="I24" s="18">
        <f t="shared" si="4"/>
        <v>2145130.46</v>
      </c>
      <c r="J24" s="18">
        <f t="shared" si="4"/>
        <v>2068859.7199999997</v>
      </c>
      <c r="K24" s="18">
        <f t="shared" si="4"/>
        <v>2079245.2099999997</v>
      </c>
      <c r="L24" s="18">
        <f t="shared" si="4"/>
        <v>2118339.42</v>
      </c>
      <c r="M24" s="18">
        <f t="shared" si="4"/>
        <v>2154385.5699999998</v>
      </c>
      <c r="N24" s="18">
        <f t="shared" si="4"/>
        <v>2173050.7799999998</v>
      </c>
      <c r="O24" s="18">
        <f t="shared" si="4"/>
        <v>2203060.6100000003</v>
      </c>
      <c r="P24" s="18">
        <f t="shared" si="4"/>
        <v>4437695.54</v>
      </c>
      <c r="Q24" s="18">
        <f t="shared" si="3"/>
        <v>27205534.649999999</v>
      </c>
    </row>
    <row r="25" spans="1:17" x14ac:dyDescent="0.25">
      <c r="A25" s="29"/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5">
      <c r="A26" s="66" t="s">
        <v>70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9"/>
    </row>
    <row r="27" spans="1:17" x14ac:dyDescent="0.25">
      <c r="A27" s="66"/>
      <c r="B27" s="67"/>
      <c r="C27" s="67"/>
      <c r="D27" s="67"/>
      <c r="E27" s="33" t="s">
        <v>41</v>
      </c>
      <c r="F27" s="33" t="s">
        <v>42</v>
      </c>
      <c r="G27" s="33" t="s">
        <v>43</v>
      </c>
      <c r="H27" s="33" t="s">
        <v>36</v>
      </c>
      <c r="I27" s="33" t="s">
        <v>37</v>
      </c>
      <c r="J27" s="33" t="s">
        <v>38</v>
      </c>
      <c r="K27" s="33" t="s">
        <v>2</v>
      </c>
      <c r="L27" s="33" t="s">
        <v>3</v>
      </c>
      <c r="M27" s="33" t="s">
        <v>4</v>
      </c>
      <c r="N27" s="32" t="s">
        <v>29</v>
      </c>
      <c r="O27" s="33" t="s">
        <v>30</v>
      </c>
      <c r="P27" s="32" t="s">
        <v>31</v>
      </c>
      <c r="Q27" s="33" t="s">
        <v>27</v>
      </c>
    </row>
    <row r="28" spans="1:17" x14ac:dyDescent="0.25">
      <c r="A28" s="60" t="s">
        <v>71</v>
      </c>
      <c r="B28" s="61"/>
      <c r="C28" s="61"/>
      <c r="D28" s="61"/>
      <c r="E28" s="35">
        <f>E14</f>
        <v>1133556.99</v>
      </c>
      <c r="F28" s="35">
        <f t="shared" ref="F28:Q28" si="5">F14</f>
        <v>1065102.25</v>
      </c>
      <c r="G28" s="35">
        <f t="shared" si="5"/>
        <v>1062653.43</v>
      </c>
      <c r="H28" s="35">
        <f t="shared" si="5"/>
        <v>507077.53</v>
      </c>
      <c r="I28" s="35">
        <f t="shared" si="5"/>
        <v>1881427.4</v>
      </c>
      <c r="J28" s="35">
        <f t="shared" si="5"/>
        <v>1243984.29</v>
      </c>
      <c r="K28" s="35">
        <f t="shared" si="5"/>
        <v>949735.7</v>
      </c>
      <c r="L28" s="35">
        <f t="shared" si="5"/>
        <v>1137239.72</v>
      </c>
      <c r="M28" s="35">
        <f t="shared" si="5"/>
        <v>1153516.17</v>
      </c>
      <c r="N28" s="36">
        <f t="shared" si="5"/>
        <v>1102392.3299999998</v>
      </c>
      <c r="O28" s="35">
        <f t="shared" si="5"/>
        <v>863293.19000000006</v>
      </c>
      <c r="P28" s="36">
        <f t="shared" si="5"/>
        <v>1561684.1500000004</v>
      </c>
      <c r="Q28" s="35">
        <f t="shared" si="5"/>
        <v>13661663.15</v>
      </c>
    </row>
    <row r="29" spans="1:17" x14ac:dyDescent="0.25">
      <c r="A29" s="62" t="s">
        <v>72</v>
      </c>
      <c r="B29" s="63"/>
      <c r="C29" s="63"/>
      <c r="D29" s="63"/>
      <c r="E29" s="37">
        <f>E24</f>
        <v>1932858.39</v>
      </c>
      <c r="F29" s="37">
        <f t="shared" ref="F29:Q29" si="6">F24</f>
        <v>1956881.1700000002</v>
      </c>
      <c r="G29" s="37">
        <f t="shared" si="6"/>
        <v>1996694.9900000002</v>
      </c>
      <c r="H29" s="37">
        <f t="shared" si="6"/>
        <v>1939332.79</v>
      </c>
      <c r="I29" s="37">
        <f t="shared" si="6"/>
        <v>2145130.46</v>
      </c>
      <c r="J29" s="37">
        <f t="shared" si="6"/>
        <v>2068859.7199999997</v>
      </c>
      <c r="K29" s="37">
        <f t="shared" si="6"/>
        <v>2079245.2099999997</v>
      </c>
      <c r="L29" s="37">
        <f t="shared" si="6"/>
        <v>2118339.42</v>
      </c>
      <c r="M29" s="37">
        <f t="shared" si="6"/>
        <v>2154385.5699999998</v>
      </c>
      <c r="N29" s="38">
        <f t="shared" si="6"/>
        <v>2173050.7799999998</v>
      </c>
      <c r="O29" s="37">
        <f t="shared" si="6"/>
        <v>2203060.6100000003</v>
      </c>
      <c r="P29" s="38">
        <f t="shared" si="6"/>
        <v>4437695.54</v>
      </c>
      <c r="Q29" s="37">
        <f t="shared" si="6"/>
        <v>27205534.649999999</v>
      </c>
    </row>
    <row r="30" spans="1:17" x14ac:dyDescent="0.25">
      <c r="A30" s="64" t="s">
        <v>73</v>
      </c>
      <c r="B30" s="65"/>
      <c r="C30" s="65"/>
      <c r="D30" s="65"/>
      <c r="E30" s="34">
        <f>E28-E29</f>
        <v>-799301.39999999991</v>
      </c>
      <c r="F30" s="34">
        <f t="shared" ref="F30:Q30" si="7">F28-F29</f>
        <v>-891778.92000000016</v>
      </c>
      <c r="G30" s="34">
        <f t="shared" si="7"/>
        <v>-934041.56000000029</v>
      </c>
      <c r="H30" s="34">
        <f t="shared" si="7"/>
        <v>-1432255.26</v>
      </c>
      <c r="I30" s="34">
        <f t="shared" si="7"/>
        <v>-263703.06000000006</v>
      </c>
      <c r="J30" s="34">
        <f t="shared" si="7"/>
        <v>-824875.4299999997</v>
      </c>
      <c r="K30" s="34">
        <f t="shared" si="7"/>
        <v>-1129509.5099999998</v>
      </c>
      <c r="L30" s="34">
        <f t="shared" si="7"/>
        <v>-981099.7</v>
      </c>
      <c r="M30" s="34">
        <f t="shared" si="7"/>
        <v>-1000869.3999999999</v>
      </c>
      <c r="N30" s="31">
        <f t="shared" si="7"/>
        <v>-1070658.45</v>
      </c>
      <c r="O30" s="34">
        <f t="shared" si="7"/>
        <v>-1339767.4200000004</v>
      </c>
      <c r="P30" s="31">
        <f t="shared" si="7"/>
        <v>-2876011.3899999997</v>
      </c>
      <c r="Q30" s="34">
        <f t="shared" si="7"/>
        <v>-13543871.499999998</v>
      </c>
    </row>
    <row r="31" spans="1:17" x14ac:dyDescent="0.25">
      <c r="A31" s="68">
        <f ca="1">TODAY()</f>
        <v>43879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</sheetData>
  <mergeCells count="40">
    <mergeCell ref="I2:I3"/>
    <mergeCell ref="A6:D6"/>
    <mergeCell ref="A7:D7"/>
    <mergeCell ref="A8:D8"/>
    <mergeCell ref="P2:P3"/>
    <mergeCell ref="Q2:Q3"/>
    <mergeCell ref="A4:D4"/>
    <mergeCell ref="A5:D5"/>
    <mergeCell ref="J2:J3"/>
    <mergeCell ref="K2:K3"/>
    <mergeCell ref="L2:L3"/>
    <mergeCell ref="M2:M3"/>
    <mergeCell ref="N2:N3"/>
    <mergeCell ref="O2:O3"/>
    <mergeCell ref="A2:D3"/>
    <mergeCell ref="E2:E3"/>
    <mergeCell ref="F2:F3"/>
    <mergeCell ref="G2:G3"/>
    <mergeCell ref="H2:H3"/>
    <mergeCell ref="A31:Q31"/>
    <mergeCell ref="A26:Q26"/>
    <mergeCell ref="A22:D22"/>
    <mergeCell ref="A23:D23"/>
    <mergeCell ref="A24:D24"/>
    <mergeCell ref="A1:Q1"/>
    <mergeCell ref="A28:D28"/>
    <mergeCell ref="A29:D29"/>
    <mergeCell ref="A30:D30"/>
    <mergeCell ref="A27:D27"/>
    <mergeCell ref="A19:D19"/>
    <mergeCell ref="A20:D20"/>
    <mergeCell ref="A21:D21"/>
    <mergeCell ref="A14:D14"/>
    <mergeCell ref="A15:Q16"/>
    <mergeCell ref="A17:D17"/>
    <mergeCell ref="A18:D18"/>
    <mergeCell ref="A9:Q10"/>
    <mergeCell ref="A11:D11"/>
    <mergeCell ref="A12:D12"/>
    <mergeCell ref="A13:D13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selection activeCell="A9" sqref="A9:Q10"/>
    </sheetView>
  </sheetViews>
  <sheetFormatPr defaultRowHeight="15" x14ac:dyDescent="0.25"/>
  <cols>
    <col min="4" max="4" width="18.28515625" customWidth="1"/>
    <col min="5" max="17" width="11.28515625" bestFit="1" customWidth="1"/>
  </cols>
  <sheetData>
    <row r="1" spans="1:17" ht="30.75" customHeight="1" x14ac:dyDescent="0.3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46" t="s">
        <v>9</v>
      </c>
      <c r="B2" s="46"/>
      <c r="C2" s="46"/>
      <c r="D2" s="46"/>
      <c r="E2" s="47" t="s">
        <v>41</v>
      </c>
      <c r="F2" s="47" t="s">
        <v>42</v>
      </c>
      <c r="G2" s="47" t="s">
        <v>43</v>
      </c>
      <c r="H2" s="47" t="s">
        <v>36</v>
      </c>
      <c r="I2" s="47" t="s">
        <v>37</v>
      </c>
      <c r="J2" s="47" t="s">
        <v>38</v>
      </c>
      <c r="K2" s="47" t="s">
        <v>2</v>
      </c>
      <c r="L2" s="47" t="s">
        <v>3</v>
      </c>
      <c r="M2" s="47" t="s">
        <v>4</v>
      </c>
      <c r="N2" s="47" t="s">
        <v>29</v>
      </c>
      <c r="O2" s="47" t="s">
        <v>30</v>
      </c>
      <c r="P2" s="47" t="s">
        <v>31</v>
      </c>
      <c r="Q2" s="47" t="s">
        <v>27</v>
      </c>
    </row>
    <row r="3" spans="1:17" x14ac:dyDescent="0.25">
      <c r="A3" s="46"/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5">
      <c r="A4" s="42" t="s">
        <v>50</v>
      </c>
      <c r="B4" s="42"/>
      <c r="C4" s="42"/>
      <c r="D4" s="42"/>
      <c r="E4" s="16">
        <f>Geral!E6</f>
        <v>369697.99</v>
      </c>
      <c r="F4" s="16">
        <f>Geral!F6</f>
        <v>409971.45</v>
      </c>
      <c r="G4" s="16">
        <f>Geral!G6</f>
        <v>420384.41</v>
      </c>
      <c r="H4" s="16">
        <f>Geral!H6</f>
        <v>4933.26</v>
      </c>
      <c r="I4" s="16">
        <f>Geral!I6</f>
        <v>859115.87</v>
      </c>
      <c r="J4" s="16">
        <f>Geral!J6</f>
        <v>443046.78</v>
      </c>
      <c r="K4" s="16">
        <f>Geral!K6</f>
        <v>445809.81</v>
      </c>
      <c r="L4" s="16">
        <f>Geral!L6</f>
        <v>448783.5</v>
      </c>
      <c r="M4" s="16">
        <f>Geral!M6</f>
        <v>451108.91</v>
      </c>
      <c r="N4" s="16">
        <f>Geral!N6</f>
        <v>450500.75</v>
      </c>
      <c r="O4" s="16">
        <f>Geral!O6</f>
        <v>456162.02</v>
      </c>
      <c r="P4" s="16">
        <f>Geral!P6</f>
        <v>895541.53</v>
      </c>
      <c r="Q4" s="16">
        <f>SUM(E4:P4)</f>
        <v>5655056.2800000003</v>
      </c>
    </row>
    <row r="5" spans="1:17" x14ac:dyDescent="0.25">
      <c r="A5" s="48" t="s">
        <v>45</v>
      </c>
      <c r="B5" s="48"/>
      <c r="C5" s="48"/>
      <c r="D5" s="48"/>
      <c r="E5" s="16">
        <f>Geral!E8</f>
        <v>27.43</v>
      </c>
      <c r="F5" s="16">
        <f>Geral!F8</f>
        <v>27.43</v>
      </c>
      <c r="G5" s="16">
        <f>Geral!G8</f>
        <v>27.43</v>
      </c>
      <c r="H5" s="16">
        <f>Geral!H8</f>
        <v>27.43</v>
      </c>
      <c r="I5" s="16">
        <f>Geral!I8</f>
        <v>27.43</v>
      </c>
      <c r="J5" s="16">
        <f>Geral!J8</f>
        <v>27.43</v>
      </c>
      <c r="K5" s="16">
        <f>Geral!K8</f>
        <v>27.43</v>
      </c>
      <c r="L5" s="16">
        <f>Geral!L8</f>
        <v>27.43</v>
      </c>
      <c r="M5" s="16">
        <f>Geral!M8</f>
        <v>27.43</v>
      </c>
      <c r="N5" s="16">
        <f>Geral!N8</f>
        <v>27.43</v>
      </c>
      <c r="O5" s="16">
        <f>Geral!O8</f>
        <v>27.43</v>
      </c>
      <c r="P5" s="16">
        <f>Geral!P8</f>
        <v>54.86</v>
      </c>
      <c r="Q5" s="16">
        <f t="shared" ref="Q5:Q8" si="0">SUM(E5:P5)</f>
        <v>356.59000000000003</v>
      </c>
    </row>
    <row r="6" spans="1:17" x14ac:dyDescent="0.25">
      <c r="A6" s="42" t="s">
        <v>40</v>
      </c>
      <c r="B6" s="42"/>
      <c r="C6" s="42"/>
      <c r="D6" s="42"/>
      <c r="E6" s="16">
        <f>Geral!E12</f>
        <v>591798.34</v>
      </c>
      <c r="F6" s="16">
        <f>Geral!F12</f>
        <v>656292.18999999994</v>
      </c>
      <c r="G6" s="16">
        <f>Geral!G12</f>
        <v>672996.78</v>
      </c>
      <c r="H6" s="16">
        <f>Geral!H12</f>
        <v>7897.81</v>
      </c>
      <c r="I6" s="16">
        <f>Geral!I12</f>
        <v>1375326.88</v>
      </c>
      <c r="J6" s="16">
        <f>Geral!J12</f>
        <v>709235.47</v>
      </c>
      <c r="K6" s="16">
        <f>Geral!K12</f>
        <v>712981.07</v>
      </c>
      <c r="L6" s="16">
        <f>Geral!L12</f>
        <v>717741.34</v>
      </c>
      <c r="M6" s="16">
        <f>Geral!M12</f>
        <v>721457.53</v>
      </c>
      <c r="N6" s="16">
        <f>Geral!N12</f>
        <v>721210.06</v>
      </c>
      <c r="O6" s="16">
        <f>Geral!O12</f>
        <v>730152.93</v>
      </c>
      <c r="P6" s="16">
        <f>Geral!P12</f>
        <v>1433590.24</v>
      </c>
      <c r="Q6" s="16">
        <f t="shared" si="0"/>
        <v>9050680.6400000006</v>
      </c>
    </row>
    <row r="7" spans="1:17" x14ac:dyDescent="0.25">
      <c r="A7" s="42" t="s">
        <v>34</v>
      </c>
      <c r="B7" s="42"/>
      <c r="C7" s="42"/>
      <c r="D7" s="42"/>
      <c r="E7" s="16">
        <f>Geral!E15</f>
        <v>429522.72</v>
      </c>
      <c r="F7" s="16">
        <f>Geral!F15</f>
        <v>307762.24</v>
      </c>
      <c r="G7" s="16">
        <f>Geral!G15</f>
        <v>342580.42</v>
      </c>
      <c r="H7" s="16">
        <f>Geral!H15</f>
        <v>397602.84</v>
      </c>
      <c r="I7" s="16">
        <f>Geral!I15</f>
        <v>994554.59</v>
      </c>
      <c r="J7" s="16">
        <f>Geral!J15</f>
        <v>1555753.19</v>
      </c>
      <c r="K7" s="16">
        <f>Geral!K15</f>
        <v>831579.91</v>
      </c>
      <c r="L7" s="16">
        <f>Geral!L15</f>
        <v>98060.64</v>
      </c>
      <c r="M7" s="16">
        <f>Geral!M15</f>
        <v>1086565.6000000001</v>
      </c>
      <c r="N7" s="16">
        <f>Geral!N15</f>
        <v>1699990.36</v>
      </c>
      <c r="O7" s="16">
        <f>Geral!O15</f>
        <v>53694.82</v>
      </c>
      <c r="P7" s="16">
        <f>Geral!P15</f>
        <v>648386.09</v>
      </c>
      <c r="Q7" s="16">
        <f t="shared" si="0"/>
        <v>8446053.4200000018</v>
      </c>
    </row>
    <row r="8" spans="1:17" x14ac:dyDescent="0.25">
      <c r="A8" s="43" t="s">
        <v>27</v>
      </c>
      <c r="B8" s="43"/>
      <c r="C8" s="43"/>
      <c r="D8" s="43"/>
      <c r="E8" s="18">
        <f>SUM(E4:E7)</f>
        <v>1391046.48</v>
      </c>
      <c r="F8" s="18">
        <f t="shared" ref="F8:P8" si="1">SUM(F4:F7)</f>
        <v>1374053.3099999998</v>
      </c>
      <c r="G8" s="18">
        <f t="shared" si="1"/>
        <v>1435989.04</v>
      </c>
      <c r="H8" s="18">
        <f t="shared" si="1"/>
        <v>410461.34</v>
      </c>
      <c r="I8" s="18">
        <f t="shared" si="1"/>
        <v>3229024.7699999996</v>
      </c>
      <c r="J8" s="18">
        <f t="shared" si="1"/>
        <v>2708062.87</v>
      </c>
      <c r="K8" s="18">
        <f t="shared" si="1"/>
        <v>1990398.2200000002</v>
      </c>
      <c r="L8" s="18">
        <f t="shared" si="1"/>
        <v>1264612.9099999999</v>
      </c>
      <c r="M8" s="18">
        <f t="shared" si="1"/>
        <v>2259159.4700000002</v>
      </c>
      <c r="N8" s="18">
        <f t="shared" si="1"/>
        <v>2871728.6</v>
      </c>
      <c r="O8" s="18">
        <f t="shared" si="1"/>
        <v>1240037.2000000002</v>
      </c>
      <c r="P8" s="18">
        <f t="shared" si="1"/>
        <v>2977572.7199999997</v>
      </c>
      <c r="Q8" s="18">
        <f t="shared" si="0"/>
        <v>23152146.93</v>
      </c>
    </row>
    <row r="9" spans="1:17" x14ac:dyDescent="0.25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x14ac:dyDescent="0.25">
      <c r="A11" s="42" t="s">
        <v>12</v>
      </c>
      <c r="B11" s="42"/>
      <c r="C11" s="42"/>
      <c r="D11" s="42"/>
      <c r="E11" s="16">
        <f>Geral!E26</f>
        <v>16340.98</v>
      </c>
      <c r="F11" s="16">
        <f>Geral!F26</f>
        <v>16340.98</v>
      </c>
      <c r="G11" s="16">
        <f>Geral!G26</f>
        <v>16340.98</v>
      </c>
      <c r="H11" s="16">
        <f>Geral!H26</f>
        <v>18569.54</v>
      </c>
      <c r="I11" s="16">
        <f>Geral!I26</f>
        <v>19276.009999999998</v>
      </c>
      <c r="J11" s="16">
        <f>Geral!J26</f>
        <v>19726.72</v>
      </c>
      <c r="K11" s="16">
        <f>Geral!K26</f>
        <v>19726.72</v>
      </c>
      <c r="L11" s="16">
        <f>Geral!L26</f>
        <v>19310.89</v>
      </c>
      <c r="M11" s="16">
        <f>Geral!M26</f>
        <v>18728.72</v>
      </c>
      <c r="N11" s="16">
        <f>Geral!N26</f>
        <v>18728.72</v>
      </c>
      <c r="O11" s="16">
        <f>Geral!O26</f>
        <v>18728.72</v>
      </c>
      <c r="P11" s="16">
        <f>Geral!P26</f>
        <v>36527.839999999997</v>
      </c>
      <c r="Q11" s="16">
        <f t="shared" ref="Q11:Q16" si="2">SUM(E11:P11)</f>
        <v>238346.82</v>
      </c>
    </row>
    <row r="12" spans="1:17" x14ac:dyDescent="0.25">
      <c r="A12" s="45" t="s">
        <v>14</v>
      </c>
      <c r="B12" s="45"/>
      <c r="C12" s="45"/>
      <c r="D12" s="45"/>
      <c r="E12" s="16">
        <f>Geral!E28</f>
        <v>5581.39</v>
      </c>
      <c r="F12" s="16">
        <f>Geral!F28</f>
        <v>5581.39</v>
      </c>
      <c r="G12" s="16">
        <f>Geral!G28</f>
        <v>5581.39</v>
      </c>
      <c r="H12" s="16">
        <f>Geral!H28</f>
        <v>5581.39</v>
      </c>
      <c r="I12" s="16">
        <f>Geral!I28</f>
        <v>7021.73</v>
      </c>
      <c r="J12" s="16">
        <f>Geral!J28</f>
        <v>7069.73</v>
      </c>
      <c r="K12" s="16">
        <f>Geral!K28</f>
        <v>7069.73</v>
      </c>
      <c r="L12" s="16">
        <f>Geral!L28</f>
        <v>7069.73</v>
      </c>
      <c r="M12" s="16">
        <f>Geral!M28</f>
        <v>7069.73</v>
      </c>
      <c r="N12" s="16">
        <f>Geral!N28</f>
        <v>7069.73</v>
      </c>
      <c r="O12" s="16">
        <f>Geral!O28</f>
        <v>7069.73</v>
      </c>
      <c r="P12" s="16">
        <f>Geral!P28</f>
        <v>13643.35</v>
      </c>
      <c r="Q12" s="16">
        <f t="shared" si="2"/>
        <v>85409.01999999999</v>
      </c>
    </row>
    <row r="13" spans="1:17" x14ac:dyDescent="0.25">
      <c r="A13" s="45" t="s">
        <v>16</v>
      </c>
      <c r="B13" s="45"/>
      <c r="C13" s="45"/>
      <c r="D13" s="45"/>
      <c r="E13" s="16">
        <f>Geral!E30</f>
        <v>1902.4</v>
      </c>
      <c r="F13" s="16">
        <f>Geral!F30</f>
        <v>2269.54</v>
      </c>
      <c r="G13" s="16">
        <f>Geral!G30</f>
        <v>2033.6</v>
      </c>
      <c r="H13" s="16">
        <f>Geral!H30</f>
        <v>0</v>
      </c>
      <c r="I13" s="16">
        <f>Geral!I30</f>
        <v>4231.2</v>
      </c>
      <c r="J13" s="16">
        <f>Geral!J30</f>
        <v>2132</v>
      </c>
      <c r="K13" s="16">
        <f>Geral!K30</f>
        <v>2033.6</v>
      </c>
      <c r="L13" s="16">
        <f>Geral!L30</f>
        <v>2066.4</v>
      </c>
      <c r="M13" s="16">
        <f>Geral!M30</f>
        <v>2000.8</v>
      </c>
      <c r="N13" s="16">
        <f>Geral!N30</f>
        <v>2099.1999999999998</v>
      </c>
      <c r="O13" s="16">
        <f>Geral!O30</f>
        <v>2066.4</v>
      </c>
      <c r="P13" s="16">
        <f>Geral!P30</f>
        <v>1646.35</v>
      </c>
      <c r="Q13" s="16">
        <f t="shared" si="2"/>
        <v>24481.49</v>
      </c>
    </row>
    <row r="14" spans="1:17" x14ac:dyDescent="0.25">
      <c r="A14" s="45" t="s">
        <v>18</v>
      </c>
      <c r="B14" s="45"/>
      <c r="C14" s="45"/>
      <c r="D14" s="45"/>
      <c r="E14" s="16">
        <f>Geral!E32</f>
        <v>52276.05</v>
      </c>
      <c r="F14" s="16">
        <f>Geral!F32</f>
        <v>60801.46</v>
      </c>
      <c r="G14" s="16">
        <f>Geral!G32</f>
        <v>68698.89</v>
      </c>
      <c r="H14" s="16">
        <f>Geral!H32</f>
        <v>0</v>
      </c>
      <c r="I14" s="16">
        <f>Geral!I32</f>
        <v>114854.39999999999</v>
      </c>
      <c r="J14" s="16">
        <f>Geral!J32</f>
        <v>54129.15</v>
      </c>
      <c r="K14" s="16">
        <f>Geral!K32</f>
        <v>55879.99</v>
      </c>
      <c r="L14" s="16">
        <f>Geral!L32</f>
        <v>56244.28</v>
      </c>
      <c r="M14" s="16">
        <f>Geral!M32</f>
        <v>57543.3</v>
      </c>
      <c r="N14" s="16">
        <f>Geral!N32</f>
        <v>51299.55</v>
      </c>
      <c r="O14" s="16">
        <f>Geral!O32</f>
        <v>45868.62</v>
      </c>
      <c r="P14" s="16">
        <f>Geral!P32</f>
        <v>61228.7</v>
      </c>
      <c r="Q14" s="16">
        <f t="shared" si="2"/>
        <v>678824.39</v>
      </c>
    </row>
    <row r="15" spans="1:17" x14ac:dyDescent="0.25">
      <c r="A15" s="45" t="s">
        <v>20</v>
      </c>
      <c r="B15" s="45"/>
      <c r="C15" s="45"/>
      <c r="D15" s="45"/>
      <c r="E15" s="16">
        <f>Geral!E34</f>
        <v>30446.76</v>
      </c>
      <c r="F15" s="16">
        <f>Geral!F34</f>
        <v>40351.79</v>
      </c>
      <c r="G15" s="16">
        <f>Geral!G34</f>
        <v>67114.789999999994</v>
      </c>
      <c r="H15" s="16">
        <f>Geral!H34</f>
        <v>0</v>
      </c>
      <c r="I15" s="16">
        <f>Geral!I34</f>
        <v>136609.85999999999</v>
      </c>
      <c r="J15" s="16">
        <f>Geral!J34</f>
        <v>92953.39</v>
      </c>
      <c r="K15" s="16">
        <f>Geral!K34</f>
        <v>69546.149999999994</v>
      </c>
      <c r="L15" s="16">
        <f>Geral!L34</f>
        <v>58734.21</v>
      </c>
      <c r="M15" s="16">
        <f>Geral!M34</f>
        <v>56791.28</v>
      </c>
      <c r="N15" s="16">
        <f>Geral!N34</f>
        <v>65569.66</v>
      </c>
      <c r="O15" s="16">
        <f>Geral!O34</f>
        <v>58396.34</v>
      </c>
      <c r="P15" s="16">
        <f>Geral!P34</f>
        <v>53435.85</v>
      </c>
      <c r="Q15" s="16">
        <f t="shared" si="2"/>
        <v>729950.08</v>
      </c>
    </row>
    <row r="16" spans="1:17" x14ac:dyDescent="0.25">
      <c r="A16" s="43" t="s">
        <v>27</v>
      </c>
      <c r="B16" s="43"/>
      <c r="C16" s="43"/>
      <c r="D16" s="43"/>
      <c r="E16" s="18">
        <f>SUM(E11:E15)</f>
        <v>106547.58</v>
      </c>
      <c r="F16" s="18">
        <f t="shared" ref="F16:P16" si="3">SUM(F11:F15)</f>
        <v>125345.16</v>
      </c>
      <c r="G16" s="18">
        <f t="shared" si="3"/>
        <v>159769.65</v>
      </c>
      <c r="H16" s="18">
        <f t="shared" si="3"/>
        <v>24150.93</v>
      </c>
      <c r="I16" s="18">
        <f t="shared" si="3"/>
        <v>281993.19999999995</v>
      </c>
      <c r="J16" s="18">
        <f t="shared" si="3"/>
        <v>176010.99</v>
      </c>
      <c r="K16" s="18">
        <f t="shared" si="3"/>
        <v>154256.19</v>
      </c>
      <c r="L16" s="18">
        <f t="shared" si="3"/>
        <v>143425.51</v>
      </c>
      <c r="M16" s="18">
        <f t="shared" si="3"/>
        <v>142133.83000000002</v>
      </c>
      <c r="N16" s="18">
        <f t="shared" si="3"/>
        <v>144766.86000000002</v>
      </c>
      <c r="O16" s="18">
        <f t="shared" si="3"/>
        <v>132129.81</v>
      </c>
      <c r="P16" s="18">
        <f t="shared" si="3"/>
        <v>166482.09</v>
      </c>
      <c r="Q16" s="18">
        <f t="shared" si="2"/>
        <v>1757011.8000000003</v>
      </c>
    </row>
    <row r="17" spans="1:17" x14ac:dyDescent="0.25">
      <c r="A17" s="27"/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5">
      <c r="A18" s="66" t="s">
        <v>70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9"/>
    </row>
    <row r="19" spans="1:17" x14ac:dyDescent="0.25">
      <c r="A19" s="66"/>
      <c r="B19" s="67"/>
      <c r="C19" s="67"/>
      <c r="D19" s="67"/>
      <c r="E19" s="33" t="s">
        <v>41</v>
      </c>
      <c r="F19" s="33" t="s">
        <v>42</v>
      </c>
      <c r="G19" s="33" t="s">
        <v>43</v>
      </c>
      <c r="H19" s="33" t="s">
        <v>36</v>
      </c>
      <c r="I19" s="33" t="s">
        <v>37</v>
      </c>
      <c r="J19" s="33" t="s">
        <v>38</v>
      </c>
      <c r="K19" s="33" t="s">
        <v>2</v>
      </c>
      <c r="L19" s="33" t="s">
        <v>3</v>
      </c>
      <c r="M19" s="33" t="s">
        <v>4</v>
      </c>
      <c r="N19" s="32" t="s">
        <v>29</v>
      </c>
      <c r="O19" s="33" t="s">
        <v>30</v>
      </c>
      <c r="P19" s="32" t="s">
        <v>31</v>
      </c>
      <c r="Q19" s="33" t="s">
        <v>27</v>
      </c>
    </row>
    <row r="20" spans="1:17" x14ac:dyDescent="0.25">
      <c r="A20" s="60" t="s">
        <v>71</v>
      </c>
      <c r="B20" s="61"/>
      <c r="C20" s="61"/>
      <c r="D20" s="61"/>
      <c r="E20" s="35">
        <f>E8</f>
        <v>1391046.48</v>
      </c>
      <c r="F20" s="35">
        <f t="shared" ref="F20:Q20" si="4">F8</f>
        <v>1374053.3099999998</v>
      </c>
      <c r="G20" s="35">
        <f t="shared" si="4"/>
        <v>1435989.04</v>
      </c>
      <c r="H20" s="35">
        <f t="shared" si="4"/>
        <v>410461.34</v>
      </c>
      <c r="I20" s="35">
        <f t="shared" si="4"/>
        <v>3229024.7699999996</v>
      </c>
      <c r="J20" s="35">
        <f t="shared" si="4"/>
        <v>2708062.87</v>
      </c>
      <c r="K20" s="35">
        <f t="shared" si="4"/>
        <v>1990398.2200000002</v>
      </c>
      <c r="L20" s="35">
        <f t="shared" si="4"/>
        <v>1264612.9099999999</v>
      </c>
      <c r="M20" s="35">
        <f t="shared" si="4"/>
        <v>2259159.4700000002</v>
      </c>
      <c r="N20" s="35">
        <f t="shared" si="4"/>
        <v>2871728.6</v>
      </c>
      <c r="O20" s="35">
        <f t="shared" si="4"/>
        <v>1240037.2000000002</v>
      </c>
      <c r="P20" s="35">
        <f t="shared" si="4"/>
        <v>2977572.7199999997</v>
      </c>
      <c r="Q20" s="35">
        <f t="shared" si="4"/>
        <v>23152146.93</v>
      </c>
    </row>
    <row r="21" spans="1:17" x14ac:dyDescent="0.25">
      <c r="A21" s="62" t="s">
        <v>72</v>
      </c>
      <c r="B21" s="63"/>
      <c r="C21" s="63"/>
      <c r="D21" s="63"/>
      <c r="E21" s="37">
        <f>E16</f>
        <v>106547.58</v>
      </c>
      <c r="F21" s="37">
        <f t="shared" ref="F21:Q21" si="5">F16</f>
        <v>125345.16</v>
      </c>
      <c r="G21" s="37">
        <f t="shared" si="5"/>
        <v>159769.65</v>
      </c>
      <c r="H21" s="37">
        <f t="shared" si="5"/>
        <v>24150.93</v>
      </c>
      <c r="I21" s="37">
        <f t="shared" si="5"/>
        <v>281993.19999999995</v>
      </c>
      <c r="J21" s="37">
        <f t="shared" si="5"/>
        <v>176010.99</v>
      </c>
      <c r="K21" s="37">
        <f t="shared" si="5"/>
        <v>154256.19</v>
      </c>
      <c r="L21" s="37">
        <f t="shared" si="5"/>
        <v>143425.51</v>
      </c>
      <c r="M21" s="37">
        <f t="shared" si="5"/>
        <v>142133.83000000002</v>
      </c>
      <c r="N21" s="37">
        <f t="shared" si="5"/>
        <v>144766.86000000002</v>
      </c>
      <c r="O21" s="37">
        <f t="shared" si="5"/>
        <v>132129.81</v>
      </c>
      <c r="P21" s="37">
        <f t="shared" si="5"/>
        <v>166482.09</v>
      </c>
      <c r="Q21" s="37">
        <f t="shared" si="5"/>
        <v>1757011.8000000003</v>
      </c>
    </row>
    <row r="22" spans="1:17" x14ac:dyDescent="0.25">
      <c r="A22" s="64" t="s">
        <v>73</v>
      </c>
      <c r="B22" s="65"/>
      <c r="C22" s="65"/>
      <c r="D22" s="65"/>
      <c r="E22" s="34">
        <f>E20-E21</f>
        <v>1284498.8999999999</v>
      </c>
      <c r="F22" s="34">
        <f t="shared" ref="F22:Q22" si="6">F20-F21</f>
        <v>1248708.1499999999</v>
      </c>
      <c r="G22" s="34">
        <f t="shared" si="6"/>
        <v>1276219.3900000001</v>
      </c>
      <c r="H22" s="34">
        <f t="shared" si="6"/>
        <v>386310.41000000003</v>
      </c>
      <c r="I22" s="34">
        <f t="shared" si="6"/>
        <v>2947031.5699999994</v>
      </c>
      <c r="J22" s="34">
        <f t="shared" si="6"/>
        <v>2532051.88</v>
      </c>
      <c r="K22" s="34">
        <f t="shared" si="6"/>
        <v>1836142.0300000003</v>
      </c>
      <c r="L22" s="34">
        <f t="shared" si="6"/>
        <v>1121187.3999999999</v>
      </c>
      <c r="M22" s="34">
        <f t="shared" si="6"/>
        <v>2117025.64</v>
      </c>
      <c r="N22" s="31">
        <f t="shared" si="6"/>
        <v>2726961.74</v>
      </c>
      <c r="O22" s="34">
        <f t="shared" si="6"/>
        <v>1107907.3900000001</v>
      </c>
      <c r="P22" s="31">
        <f t="shared" si="6"/>
        <v>2811090.63</v>
      </c>
      <c r="Q22" s="34">
        <f t="shared" si="6"/>
        <v>21395135.129999999</v>
      </c>
    </row>
    <row r="23" spans="1:17" x14ac:dyDescent="0.25">
      <c r="A23" s="68">
        <f ca="1">TODAY()</f>
        <v>43879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</sheetData>
  <mergeCells count="33">
    <mergeCell ref="A7:D7"/>
    <mergeCell ref="A6:D6"/>
    <mergeCell ref="P2:P3"/>
    <mergeCell ref="M2:M3"/>
    <mergeCell ref="N2:N3"/>
    <mergeCell ref="O2:O3"/>
    <mergeCell ref="A2:D3"/>
    <mergeCell ref="E2:E3"/>
    <mergeCell ref="F2:F3"/>
    <mergeCell ref="G2:G3"/>
    <mergeCell ref="H2:H3"/>
    <mergeCell ref="I2:I3"/>
    <mergeCell ref="A4:D4"/>
    <mergeCell ref="A5:D5"/>
    <mergeCell ref="J2:J3"/>
    <mergeCell ref="K2:K3"/>
    <mergeCell ref="L2:L3"/>
    <mergeCell ref="A1:Q1"/>
    <mergeCell ref="A23:Q23"/>
    <mergeCell ref="A18:Q18"/>
    <mergeCell ref="A19:D19"/>
    <mergeCell ref="A20:D20"/>
    <mergeCell ref="A21:D21"/>
    <mergeCell ref="A22:D22"/>
    <mergeCell ref="A16:D16"/>
    <mergeCell ref="A13:D13"/>
    <mergeCell ref="A14:D14"/>
    <mergeCell ref="A15:D15"/>
    <mergeCell ref="A8:D8"/>
    <mergeCell ref="A9:Q10"/>
    <mergeCell ref="A11:D11"/>
    <mergeCell ref="A12:D12"/>
    <mergeCell ref="Q2:Q3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workbookViewId="0">
      <selection activeCell="A5" sqref="A5:L6"/>
    </sheetView>
  </sheetViews>
  <sheetFormatPr defaultColWidth="0" defaultRowHeight="15" x14ac:dyDescent="0.25"/>
  <cols>
    <col min="1" max="8" width="9.140625" customWidth="1"/>
    <col min="9" max="9" width="13.28515625" customWidth="1"/>
    <col min="10" max="10" width="13.42578125" bestFit="1" customWidth="1"/>
    <col min="11" max="11" width="13" customWidth="1"/>
    <col min="12" max="12" width="14.140625" customWidth="1"/>
    <col min="13" max="16384" width="9.140625" hidden="1"/>
  </cols>
  <sheetData>
    <row r="1" spans="1:12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x14ac:dyDescent="0.2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x14ac:dyDescent="0.25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x14ac:dyDescent="0.25">
      <c r="A5" s="88" t="str">
        <f>"Analisando os balancetes dos meses de "&amp;I7&amp;", "&amp;J7&amp;" e "&amp;K7&amp;" de "&amp;Geral!A1&amp;", constatamos que:"</f>
        <v>Analisando os balancetes dos meses de Julho, Agosto e Setembro de 2019, constatamos que: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1:12" x14ac:dyDescent="0.2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2" x14ac:dyDescent="0.25">
      <c r="A7" s="71" t="s">
        <v>9</v>
      </c>
      <c r="B7" s="71"/>
      <c r="C7" s="71"/>
      <c r="D7" s="71"/>
      <c r="E7" s="71"/>
      <c r="F7" s="71"/>
      <c r="G7" s="71"/>
      <c r="H7" s="72"/>
      <c r="I7" s="94" t="s">
        <v>2</v>
      </c>
      <c r="J7" s="94" t="s">
        <v>3</v>
      </c>
      <c r="K7" s="94" t="s">
        <v>4</v>
      </c>
      <c r="L7" s="94" t="s">
        <v>27</v>
      </c>
    </row>
    <row r="8" spans="1:12" x14ac:dyDescent="0.25">
      <c r="A8" s="74"/>
      <c r="B8" s="74"/>
      <c r="C8" s="74"/>
      <c r="D8" s="74"/>
      <c r="E8" s="74"/>
      <c r="F8" s="74"/>
      <c r="G8" s="74"/>
      <c r="H8" s="75"/>
      <c r="I8" s="94"/>
      <c r="J8" s="94"/>
      <c r="K8" s="94"/>
      <c r="L8" s="94"/>
    </row>
    <row r="9" spans="1:12" x14ac:dyDescent="0.25">
      <c r="A9" s="42" t="str">
        <f>Geral!A5</f>
        <v>Contribuição dos Servidores Ativos - Plano Financeiro</v>
      </c>
      <c r="B9" s="42"/>
      <c r="C9" s="42"/>
      <c r="D9" s="42"/>
      <c r="E9" s="42"/>
      <c r="F9" s="42"/>
      <c r="G9" s="42"/>
      <c r="H9" s="42"/>
      <c r="I9" s="5">
        <f>VLOOKUP(I7,Dados!A2:AG13,2,0)</f>
        <v>240261.61</v>
      </c>
      <c r="J9" s="5">
        <f>VLOOKUP(J7,Dados!A2:AG13,2,0)</f>
        <v>239999.58</v>
      </c>
      <c r="K9" s="5">
        <f>VLOOKUP(K7,Dados!A2:AG13,2,0)</f>
        <v>232634.93</v>
      </c>
      <c r="L9" s="5">
        <f>SUM(I9:K9)</f>
        <v>712896.11999999988</v>
      </c>
    </row>
    <row r="10" spans="1:12" x14ac:dyDescent="0.25">
      <c r="A10" s="42" t="str">
        <f>Geral!A6</f>
        <v>Contribuição dos Servidores Ativos - Plano Previdenciário</v>
      </c>
      <c r="B10" s="42"/>
      <c r="C10" s="42"/>
      <c r="D10" s="42"/>
      <c r="E10" s="42"/>
      <c r="F10" s="42"/>
      <c r="G10" s="42"/>
      <c r="H10" s="42"/>
      <c r="I10" s="5">
        <f>VLOOKUP(I7,Dados!A2:AG13,3,0)</f>
        <v>445809.81</v>
      </c>
      <c r="J10" s="5">
        <f>VLOOKUP(J7,Dados!A2:AG13,3,0)</f>
        <v>448783.5</v>
      </c>
      <c r="K10" s="5">
        <f>VLOOKUP(K7,Dados!A2:AG13,3,0)</f>
        <v>451108.91</v>
      </c>
      <c r="L10" s="5">
        <f>SUM(I10:K10)</f>
        <v>1345702.22</v>
      </c>
    </row>
    <row r="11" spans="1:12" x14ac:dyDescent="0.25">
      <c r="A11" s="42" t="str">
        <f>Geral!A7</f>
        <v>Contribuição dos Servidores Inativos  - Plano Financeiro</v>
      </c>
      <c r="B11" s="42"/>
      <c r="C11" s="42"/>
      <c r="D11" s="42"/>
      <c r="E11" s="42"/>
      <c r="F11" s="42"/>
      <c r="G11" s="42"/>
      <c r="H11" s="42"/>
      <c r="I11" s="5">
        <f>VLOOKUP(I7,Dados!A2:AG13,4,0)</f>
        <v>3403.89</v>
      </c>
      <c r="J11" s="5">
        <f>VLOOKUP(J7,Dados!A2:AG13,4,0)</f>
        <v>3418.14</v>
      </c>
      <c r="K11" s="5">
        <f>VLOOKUP(K7,Dados!A2:AG13,4,0)</f>
        <v>4077.63</v>
      </c>
      <c r="L11" s="5">
        <f>SUM(I11:K11)</f>
        <v>10899.66</v>
      </c>
    </row>
    <row r="12" spans="1:12" x14ac:dyDescent="0.25">
      <c r="A12" s="39" t="str">
        <f>Geral!A8</f>
        <v>Contribuição dos Servidores Inativos  - Plano Previdenciário</v>
      </c>
      <c r="B12" s="40"/>
      <c r="C12" s="40"/>
      <c r="D12" s="40"/>
      <c r="E12" s="40"/>
      <c r="F12" s="40"/>
      <c r="G12" s="40"/>
      <c r="H12" s="41"/>
      <c r="I12" s="5">
        <f>VLOOKUP(I7,Dados!A2:AG13,5,0)</f>
        <v>27.43</v>
      </c>
      <c r="J12" s="5">
        <f>VLOOKUP(J7,Dados!A2:AG13,5,0)</f>
        <v>27.43</v>
      </c>
      <c r="K12" s="5">
        <f>VLOOKUP(K7,Dados!A2:AG13,5,0)</f>
        <v>27.43</v>
      </c>
      <c r="L12" s="5">
        <f>SUM(I12:K12)</f>
        <v>82.289999999999992</v>
      </c>
    </row>
    <row r="13" spans="1:12" x14ac:dyDescent="0.25">
      <c r="A13" s="42" t="str">
        <f>Geral!A9</f>
        <v>Contribuição dos Pensionistas - Plano Financeiro</v>
      </c>
      <c r="B13" s="42"/>
      <c r="C13" s="42"/>
      <c r="D13" s="42"/>
      <c r="E13" s="42"/>
      <c r="F13" s="42"/>
      <c r="G13" s="42"/>
      <c r="H13" s="42"/>
      <c r="I13" s="5">
        <f>VLOOKUP(I7,Dados!A2:AG13,6,0)</f>
        <v>297.47000000000003</v>
      </c>
      <c r="J13" s="5">
        <f>VLOOKUP(J7,Dados!A2:AG13,6,0)</f>
        <v>297.47000000000003</v>
      </c>
      <c r="K13" s="5">
        <f>VLOOKUP(K7,Dados!A2:AG13,6,0)</f>
        <v>297.47000000000003</v>
      </c>
      <c r="L13" s="5">
        <f>SUM(I13:K13)</f>
        <v>892.41000000000008</v>
      </c>
    </row>
    <row r="14" spans="1:12" x14ac:dyDescent="0.25">
      <c r="A14" s="9"/>
      <c r="B14" s="9"/>
      <c r="C14" s="9"/>
      <c r="D14" s="9"/>
      <c r="E14" s="9"/>
      <c r="F14" s="9"/>
      <c r="G14" s="9"/>
      <c r="H14" s="9"/>
      <c r="I14" s="7"/>
      <c r="J14" s="7"/>
      <c r="K14" s="7"/>
      <c r="L14" s="5"/>
    </row>
    <row r="15" spans="1:12" x14ac:dyDescent="0.25">
      <c r="A15" s="42" t="str">
        <f>Geral!A11</f>
        <v>Contribuição Patronal dos Servidores Ativos - Plano Financeiro</v>
      </c>
      <c r="B15" s="42"/>
      <c r="C15" s="42"/>
      <c r="D15" s="42"/>
      <c r="E15" s="42"/>
      <c r="F15" s="42"/>
      <c r="G15" s="42"/>
      <c r="H15" s="42"/>
      <c r="I15" s="5">
        <f>VLOOKUP(I7,Dados!A2:AG13,7,0)</f>
        <v>380705.56</v>
      </c>
      <c r="J15" s="5">
        <f>VLOOKUP(J7,Dados!A2:AG13,7,0)</f>
        <v>380278.64</v>
      </c>
      <c r="K15" s="5">
        <f>VLOOKUP(K7,Dados!A2:AG13,7,0)</f>
        <v>368591.52</v>
      </c>
      <c r="L15" s="5">
        <f>SUM(I15:K15)</f>
        <v>1129575.72</v>
      </c>
    </row>
    <row r="16" spans="1:12" x14ac:dyDescent="0.25">
      <c r="A16" s="42" t="str">
        <f>Geral!A12</f>
        <v xml:space="preserve">Contribuição Patronal dos Servidores Ativos - Plano Previdenciário </v>
      </c>
      <c r="B16" s="42"/>
      <c r="C16" s="42"/>
      <c r="D16" s="42"/>
      <c r="E16" s="42"/>
      <c r="F16" s="42"/>
      <c r="G16" s="42"/>
      <c r="H16" s="42"/>
      <c r="I16" s="5">
        <f>VLOOKUP(I7,Dados!A2:AG13,8,0)</f>
        <v>712981.07</v>
      </c>
      <c r="J16" s="5">
        <f>VLOOKUP(J7,Dados!A2:AG13,8,0)</f>
        <v>717741.34</v>
      </c>
      <c r="K16" s="5">
        <f>VLOOKUP(K7,Dados!A2:AG13,8,0)</f>
        <v>721457.53</v>
      </c>
      <c r="L16" s="5">
        <f>SUM(I16:K16)</f>
        <v>2152179.94</v>
      </c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7"/>
      <c r="J17" s="7"/>
      <c r="K17" s="7"/>
      <c r="L17" s="5"/>
    </row>
    <row r="18" spans="1:12" x14ac:dyDescent="0.25">
      <c r="A18" s="42" t="str">
        <f>Geral!A14</f>
        <v xml:space="preserve">Rendimento das Aplicações Financeiras - Plano Financeiro </v>
      </c>
      <c r="B18" s="42"/>
      <c r="C18" s="42"/>
      <c r="D18" s="42"/>
      <c r="E18" s="42"/>
      <c r="F18" s="42"/>
      <c r="G18" s="42"/>
      <c r="H18" s="42"/>
      <c r="I18" s="5">
        <f>VLOOKUP(I7,Dados!A2:AG13,9,0)</f>
        <v>208448.95</v>
      </c>
      <c r="J18" s="5">
        <f>VLOOKUP(J7,Dados!A2:AG13,9,0)</f>
        <v>3715.59</v>
      </c>
      <c r="K18" s="5">
        <f>VLOOKUP(K7,Dados!A2:AG13,9,0)</f>
        <v>332499.59999999998</v>
      </c>
      <c r="L18" s="5">
        <f>SUM(I18:K18)</f>
        <v>544664.14</v>
      </c>
    </row>
    <row r="19" spans="1:12" x14ac:dyDescent="0.25">
      <c r="A19" s="42" t="str">
        <f>Geral!A15</f>
        <v xml:space="preserve">Rendimento das Aplicações Financeiras - Plano Previdenciário </v>
      </c>
      <c r="B19" s="42"/>
      <c r="C19" s="42"/>
      <c r="D19" s="42"/>
      <c r="E19" s="42"/>
      <c r="F19" s="42"/>
      <c r="G19" s="42"/>
      <c r="H19" s="42"/>
      <c r="I19" s="5">
        <f>VLOOKUP(I7,Dados!A2:AG13,10,0)</f>
        <v>831579.91</v>
      </c>
      <c r="J19" s="5">
        <f>VLOOKUP(J7,Dados!A2:AG13,10,0)</f>
        <v>98060.64</v>
      </c>
      <c r="K19" s="5">
        <f>VLOOKUP(K7,Dados!A2:AG13,10,0)</f>
        <v>1086565.6000000001</v>
      </c>
      <c r="L19" s="5">
        <f>SUM(I19:K19)</f>
        <v>2016206.1500000001</v>
      </c>
    </row>
    <row r="20" spans="1:12" x14ac:dyDescent="0.25">
      <c r="A20" s="95" t="s">
        <v>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</row>
    <row r="21" spans="1:12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12" x14ac:dyDescent="0.25">
      <c r="A22" s="42" t="str">
        <f>Geral!A18</f>
        <v>Patronal</v>
      </c>
      <c r="B22" s="42"/>
      <c r="C22" s="42"/>
      <c r="D22" s="42"/>
      <c r="E22" s="42"/>
      <c r="F22" s="42"/>
      <c r="G22" s="42"/>
      <c r="H22" s="42"/>
      <c r="I22" s="5">
        <f>VLOOKUP(I7,Dados!A2:AG13,11,0)</f>
        <v>116618.22</v>
      </c>
      <c r="J22" s="5">
        <f>VLOOKUP(J7,Dados!A2:AG13,11,0)</f>
        <v>117165.7</v>
      </c>
      <c r="K22" s="5">
        <f>VLOOKUP(K7,Dados!A2:AG13,11,0)</f>
        <v>117722.9</v>
      </c>
      <c r="L22" s="5">
        <f>SUM(I22:K22)</f>
        <v>351506.81999999995</v>
      </c>
    </row>
    <row r="23" spans="1:12" x14ac:dyDescent="0.25">
      <c r="A23" s="42" t="str">
        <f>Geral!A19</f>
        <v>Servidor</v>
      </c>
      <c r="B23" s="42"/>
      <c r="C23" s="42"/>
      <c r="D23" s="42"/>
      <c r="E23" s="42"/>
      <c r="F23" s="42"/>
      <c r="G23" s="42"/>
      <c r="H23" s="42"/>
      <c r="I23" s="5">
        <f>VLOOKUP(I7,Dados!A2:AG13,12,0)</f>
        <v>0</v>
      </c>
      <c r="J23" s="5">
        <f>VLOOKUP(J7,Dados!A2:AG13,12,0)</f>
        <v>0</v>
      </c>
      <c r="K23" s="5">
        <f>VLOOKUP(K7,Dados!A2:AG13,12,0)</f>
        <v>0</v>
      </c>
      <c r="L23" s="5">
        <f>SUM(I23:K23)</f>
        <v>0</v>
      </c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5"/>
    </row>
    <row r="25" spans="1:12" x14ac:dyDescent="0.25">
      <c r="A25" s="42" t="str">
        <f>Geral!A21</f>
        <v xml:space="preserve">Compensação Previdenciária </v>
      </c>
      <c r="B25" s="42"/>
      <c r="C25" s="42"/>
      <c r="D25" s="42"/>
      <c r="E25" s="42"/>
      <c r="F25" s="42"/>
      <c r="G25" s="42"/>
      <c r="H25" s="42"/>
      <c r="I25" s="5">
        <f>VLOOKUP(I7,Dados!A2:AG13,13,0)</f>
        <v>0</v>
      </c>
      <c r="J25" s="5">
        <f>VLOOKUP(J7,Dados!A2:AG13,13,0)</f>
        <v>392364.6</v>
      </c>
      <c r="K25" s="5">
        <f>VLOOKUP(K7,Dados!A2:AG13,13,0)</f>
        <v>97692.12</v>
      </c>
      <c r="L25" s="5">
        <f>SUM(I25:K25)</f>
        <v>490056.72</v>
      </c>
    </row>
    <row r="26" spans="1:12" x14ac:dyDescent="0.25">
      <c r="A26" s="101" t="s">
        <v>27</v>
      </c>
      <c r="B26" s="102"/>
      <c r="C26" s="102"/>
      <c r="D26" s="102"/>
      <c r="E26" s="102"/>
      <c r="F26" s="102"/>
      <c r="G26" s="102"/>
      <c r="H26" s="103"/>
      <c r="I26" s="10">
        <f>SUM((I9:I13),(I15:I16),(I18:I19),(I22:I23),(I25))</f>
        <v>2940133.92</v>
      </c>
      <c r="J26" s="10">
        <f t="shared" ref="J26:K26" si="0">SUM((J9:J13),(J15:J16),(J18:J19),(J22:J23),(J25))</f>
        <v>2401852.63</v>
      </c>
      <c r="K26" s="10">
        <f t="shared" si="0"/>
        <v>3412675.64</v>
      </c>
      <c r="L26" s="10">
        <f>SUM((L9:L13),(L15:L16),(L18:L19),(L22:L23),(L25))</f>
        <v>8754662.1899999995</v>
      </c>
    </row>
    <row r="27" spans="1:12" x14ac:dyDescent="0.25">
      <c r="A27" s="104" t="s">
        <v>10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</row>
    <row r="28" spans="1:12" x14ac:dyDescent="0.2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</row>
    <row r="29" spans="1:12" x14ac:dyDescent="0.25">
      <c r="A29" s="110" t="str">
        <f>Geral!A25</f>
        <v>Proventos de Inativos - Plano Financeiro</v>
      </c>
      <c r="B29" s="110"/>
      <c r="C29" s="110"/>
      <c r="D29" s="110"/>
      <c r="E29" s="110"/>
      <c r="F29" s="110"/>
      <c r="G29" s="110"/>
      <c r="H29" s="110"/>
      <c r="I29" s="12">
        <f>VLOOKUP(I7,Dados!A2:AG13,14,0)</f>
        <v>1709219.83</v>
      </c>
      <c r="J29" s="12">
        <f>VLOOKUP(J7,Dados!A2:AG13,14,0)</f>
        <v>1742841.75</v>
      </c>
      <c r="K29" s="12">
        <f>VLOOKUP(K7,Dados!A2:AG13,14,0)</f>
        <v>1777391.38</v>
      </c>
      <c r="L29" s="12">
        <f>SUM(I29:K29)</f>
        <v>5229452.96</v>
      </c>
    </row>
    <row r="30" spans="1:12" x14ac:dyDescent="0.25">
      <c r="A30" s="42" t="str">
        <f>Geral!A26</f>
        <v>Proventos de Inativos - Plano Previdenciário</v>
      </c>
      <c r="B30" s="42"/>
      <c r="C30" s="42"/>
      <c r="D30" s="42"/>
      <c r="E30" s="42"/>
      <c r="F30" s="42"/>
      <c r="G30" s="42"/>
      <c r="H30" s="42"/>
      <c r="I30" s="5">
        <f>VLOOKUP(I7,Dados!A2:AG13,15,0)</f>
        <v>19726.72</v>
      </c>
      <c r="J30" s="5">
        <f>VLOOKUP(J7,Dados!A2:AG13,15,0)</f>
        <v>19310.89</v>
      </c>
      <c r="K30" s="5">
        <f>VLOOKUP(K7,Dados!A2:AG13,15,0)</f>
        <v>18728.72</v>
      </c>
      <c r="L30" s="12">
        <f t="shared" ref="L30:L40" si="1">SUM(I30:K30)</f>
        <v>57766.33</v>
      </c>
    </row>
    <row r="31" spans="1:12" x14ac:dyDescent="0.25">
      <c r="A31" s="42" t="str">
        <f>Geral!A27</f>
        <v>Proventos de Pensão - Plano Financeiro</v>
      </c>
      <c r="B31" s="42"/>
      <c r="C31" s="42"/>
      <c r="D31" s="42"/>
      <c r="E31" s="42"/>
      <c r="F31" s="42"/>
      <c r="G31" s="42"/>
      <c r="H31" s="42"/>
      <c r="I31" s="5">
        <f>VLOOKUP(I7,Dados!A2:AG13,16,0)</f>
        <v>288568.88</v>
      </c>
      <c r="J31" s="5">
        <f>VLOOKUP(J7,Dados!A2:AG13,16,0)</f>
        <v>288568.88</v>
      </c>
      <c r="K31" s="5">
        <f>VLOOKUP(K7,Dados!A2:AG13,16,0)</f>
        <v>282386.8</v>
      </c>
      <c r="L31" s="12">
        <f t="shared" si="1"/>
        <v>859524.56</v>
      </c>
    </row>
    <row r="32" spans="1:12" x14ac:dyDescent="0.25">
      <c r="A32" s="45" t="str">
        <f>Geral!A28</f>
        <v>Proventos de Pensão - Plano Previdenciário</v>
      </c>
      <c r="B32" s="45"/>
      <c r="C32" s="45"/>
      <c r="D32" s="45"/>
      <c r="E32" s="45"/>
      <c r="F32" s="45"/>
      <c r="G32" s="45"/>
      <c r="H32" s="45"/>
      <c r="I32" s="5">
        <f>VLOOKUP(I7,Dados!A2:AG13,17,0)</f>
        <v>7069.73</v>
      </c>
      <c r="J32" s="5">
        <f>VLOOKUP(J7,Dados!A2:AG13,17,0)</f>
        <v>7069.73</v>
      </c>
      <c r="K32" s="5">
        <f>VLOOKUP(K7,Dados!A2:AG13,17,0)</f>
        <v>7069.73</v>
      </c>
      <c r="L32" s="12">
        <f t="shared" si="1"/>
        <v>21209.19</v>
      </c>
    </row>
    <row r="33" spans="1:12" x14ac:dyDescent="0.25">
      <c r="A33" s="45" t="str">
        <f>Geral!A29</f>
        <v>Salário Família dos Servidores Ativos - Plano Financeiro</v>
      </c>
      <c r="B33" s="45"/>
      <c r="C33" s="45"/>
      <c r="D33" s="45"/>
      <c r="E33" s="45"/>
      <c r="F33" s="45"/>
      <c r="G33" s="45"/>
      <c r="H33" s="45"/>
      <c r="I33" s="5">
        <f>VLOOKUP(I7,Dados!A2:AG13,18,0)</f>
        <v>0</v>
      </c>
      <c r="J33" s="5">
        <f>VLOOKUP(J7,Dados!A2:AG13,18,0)</f>
        <v>0</v>
      </c>
      <c r="K33" s="5">
        <f>VLOOKUP(K7,Dados!A2:AG13,18,0)</f>
        <v>0</v>
      </c>
      <c r="L33" s="12">
        <f t="shared" si="1"/>
        <v>0</v>
      </c>
    </row>
    <row r="34" spans="1:12" x14ac:dyDescent="0.25">
      <c r="A34" s="45" t="str">
        <f>Geral!A30</f>
        <v>Salário Família dos Servidores Ativos - Plano Previdenciário</v>
      </c>
      <c r="B34" s="45"/>
      <c r="C34" s="45"/>
      <c r="D34" s="45"/>
      <c r="E34" s="45"/>
      <c r="F34" s="45"/>
      <c r="G34" s="45"/>
      <c r="H34" s="45"/>
      <c r="I34" s="5">
        <f>VLOOKUP(I7,Dados!A2:AG13,19,0)</f>
        <v>2033.6</v>
      </c>
      <c r="J34" s="5">
        <f>VLOOKUP(J7,Dados!A2:AG13,19,0)</f>
        <v>2066.4</v>
      </c>
      <c r="K34" s="5">
        <f>VLOOKUP(K7,Dados!A2:AG13,19,0)</f>
        <v>2000.8</v>
      </c>
      <c r="L34" s="12">
        <f t="shared" si="1"/>
        <v>6100.8</v>
      </c>
    </row>
    <row r="35" spans="1:12" x14ac:dyDescent="0.25">
      <c r="A35" s="45" t="str">
        <f>Geral!A31</f>
        <v>Salário Maternidade das Servidoras Ativas - Plano Financiero</v>
      </c>
      <c r="B35" s="45"/>
      <c r="C35" s="45"/>
      <c r="D35" s="45"/>
      <c r="E35" s="45"/>
      <c r="F35" s="45"/>
      <c r="G35" s="45"/>
      <c r="H35" s="45"/>
      <c r="I35" s="5">
        <f>VLOOKUP(I7,Dados!A2:AG13,20,0)</f>
        <v>4694.38</v>
      </c>
      <c r="J35" s="5">
        <f>VLOOKUP(J7,Dados!A2:AG13,20,0)</f>
        <v>5018.13</v>
      </c>
      <c r="K35" s="5">
        <f>VLOOKUP(K7,Dados!A2:AG13,20,0)</f>
        <v>5018.13</v>
      </c>
      <c r="L35" s="12">
        <f t="shared" si="1"/>
        <v>14730.64</v>
      </c>
    </row>
    <row r="36" spans="1:12" x14ac:dyDescent="0.25">
      <c r="A36" s="45" t="str">
        <f>Geral!A32</f>
        <v>Salário Maternidade das Servidoras Ativas - Plano Previdenciário</v>
      </c>
      <c r="B36" s="45"/>
      <c r="C36" s="45"/>
      <c r="D36" s="45"/>
      <c r="E36" s="45"/>
      <c r="F36" s="45"/>
      <c r="G36" s="45"/>
      <c r="H36" s="45"/>
      <c r="I36" s="5">
        <f>VLOOKUP(I7,Dados!A2:AG13,21,0)</f>
        <v>55879.99</v>
      </c>
      <c r="J36" s="5">
        <f>VLOOKUP(J7,Dados!A2:AG13,21,0)</f>
        <v>56244.28</v>
      </c>
      <c r="K36" s="5">
        <f>VLOOKUP(K7,Dados!A2:AG13,21,0)</f>
        <v>57543.3</v>
      </c>
      <c r="L36" s="12">
        <f t="shared" si="1"/>
        <v>169667.57</v>
      </c>
    </row>
    <row r="37" spans="1:12" x14ac:dyDescent="0.25">
      <c r="A37" s="45" t="str">
        <f>Geral!A33</f>
        <v>Auxílio Doença dos Servidores Ativos - Plano Financeiro</v>
      </c>
      <c r="B37" s="45"/>
      <c r="C37" s="45"/>
      <c r="D37" s="45"/>
      <c r="E37" s="45"/>
      <c r="F37" s="45"/>
      <c r="G37" s="45"/>
      <c r="H37" s="45"/>
      <c r="I37" s="5">
        <f>VLOOKUP(I7,Dados!A2:AG13,22,0)</f>
        <v>67167.679999999993</v>
      </c>
      <c r="J37" s="5">
        <f>VLOOKUP(J7,Dados!A2:AG13,22,0)</f>
        <v>72316.22</v>
      </c>
      <c r="K37" s="5">
        <f>VLOOKUP(K7,Dados!A2:AG13,22,0)</f>
        <v>79994.820000000007</v>
      </c>
      <c r="L37" s="12">
        <f t="shared" si="1"/>
        <v>219478.72</v>
      </c>
    </row>
    <row r="38" spans="1:12" x14ac:dyDescent="0.25">
      <c r="A38" s="45" t="str">
        <f>Geral!A34</f>
        <v>Auxílio Doença dos Servidores Ativos - Plano Previdenciário</v>
      </c>
      <c r="B38" s="45"/>
      <c r="C38" s="45"/>
      <c r="D38" s="45"/>
      <c r="E38" s="45"/>
      <c r="F38" s="45"/>
      <c r="G38" s="45"/>
      <c r="H38" s="45"/>
      <c r="I38" s="5">
        <f>VLOOKUP(I7,Dados!A2:AG13,23,0)</f>
        <v>69546.149999999994</v>
      </c>
      <c r="J38" s="5">
        <f>VLOOKUP(J7,Dados!A2:AG13,23,0)</f>
        <v>58734.21</v>
      </c>
      <c r="K38" s="5">
        <f>VLOOKUP(K7,Dados!A2:AG13,23,0)</f>
        <v>56791.28</v>
      </c>
      <c r="L38" s="12">
        <f t="shared" si="1"/>
        <v>185071.63999999998</v>
      </c>
    </row>
    <row r="39" spans="1:12" x14ac:dyDescent="0.25">
      <c r="A39" s="45" t="str">
        <f>Geral!A35</f>
        <v>Compensação Previdenciária</v>
      </c>
      <c r="B39" s="45"/>
      <c r="C39" s="45"/>
      <c r="D39" s="45"/>
      <c r="E39" s="45"/>
      <c r="F39" s="45"/>
      <c r="G39" s="45"/>
      <c r="H39" s="45"/>
      <c r="I39" s="5">
        <f>VLOOKUP(I7,Dados!A2:AG13,24,0)</f>
        <v>9594.44</v>
      </c>
      <c r="J39" s="5">
        <f>VLOOKUP(J7,Dados!A2:AG13,24,0)</f>
        <v>9594.44</v>
      </c>
      <c r="K39" s="5">
        <f>VLOOKUP(K7,Dados!A2:AG13,24,0)</f>
        <v>9594.44</v>
      </c>
      <c r="L39" s="12">
        <f t="shared" si="1"/>
        <v>28783.32</v>
      </c>
    </row>
    <row r="40" spans="1:12" x14ac:dyDescent="0.25">
      <c r="A40" s="39" t="str">
        <f>Geral!A36</f>
        <v>Restituição Precatório  0002016-62.2017.8.16.7000</v>
      </c>
      <c r="B40" s="40"/>
      <c r="C40" s="40"/>
      <c r="D40" s="40"/>
      <c r="E40" s="40"/>
      <c r="F40" s="40"/>
      <c r="G40" s="40"/>
      <c r="H40" s="41"/>
      <c r="I40" s="14">
        <f>VLOOKUP(I7,Dados!A2:AG13,25,0)</f>
        <v>0</v>
      </c>
      <c r="J40" s="14">
        <f>VLOOKUP(J7,Dados!A2:AG13,25,0)</f>
        <v>0</v>
      </c>
      <c r="K40" s="14">
        <f>VLOOKUP(K7,Dados!A2:AG13,25,0)</f>
        <v>0</v>
      </c>
      <c r="L40" s="12">
        <f t="shared" si="1"/>
        <v>0</v>
      </c>
    </row>
    <row r="41" spans="1:12" x14ac:dyDescent="0.25">
      <c r="A41" s="111" t="s">
        <v>27</v>
      </c>
      <c r="B41" s="112"/>
      <c r="C41" s="112"/>
      <c r="D41" s="112"/>
      <c r="E41" s="112"/>
      <c r="F41" s="112"/>
      <c r="G41" s="112"/>
      <c r="H41" s="113"/>
      <c r="I41" s="10">
        <f>SUM(I29:I39)</f>
        <v>2233501.4</v>
      </c>
      <c r="J41" s="10">
        <f>SUM(J29:J39)</f>
        <v>2261764.9299999997</v>
      </c>
      <c r="K41" s="10">
        <f>SUM(K29:K39)</f>
        <v>2296519.3999999994</v>
      </c>
      <c r="L41" s="10">
        <f>SUM(L29:L40)</f>
        <v>6791785.7299999995</v>
      </c>
    </row>
    <row r="42" spans="1:12" x14ac:dyDescent="0.25">
      <c r="A42" s="104" t="s">
        <v>21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6"/>
    </row>
    <row r="43" spans="1:12" x14ac:dyDescent="0.2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9"/>
    </row>
    <row r="44" spans="1:12" x14ac:dyDescent="0.25">
      <c r="A44" s="114" t="s">
        <v>35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6"/>
    </row>
    <row r="45" spans="1:12" x14ac:dyDescent="0.25">
      <c r="A45" s="121" t="str">
        <f>Geral!A41</f>
        <v>187-9</v>
      </c>
      <c r="B45" s="121"/>
      <c r="C45" s="121"/>
      <c r="D45" s="121"/>
      <c r="E45" s="121"/>
      <c r="F45" s="121"/>
      <c r="G45" s="121"/>
      <c r="H45" s="121"/>
      <c r="I45" s="11">
        <f>VLOOKUP(I7,Dados!A2:AG13,26,0)</f>
        <v>16260284.91</v>
      </c>
      <c r="J45" s="11">
        <f>VLOOKUP(J7,Dados!A2:AG13,26,0)</f>
        <v>14941247.84</v>
      </c>
      <c r="K45" s="11">
        <f>VLOOKUP(K7,Dados!A2:AG13,26,0)</f>
        <v>13915635.75</v>
      </c>
      <c r="L45" s="11">
        <f>K45</f>
        <v>13915635.75</v>
      </c>
    </row>
    <row r="46" spans="1:12" x14ac:dyDescent="0.25">
      <c r="A46" s="122" t="str">
        <f>Geral!A42</f>
        <v>327-8</v>
      </c>
      <c r="B46" s="122"/>
      <c r="C46" s="122"/>
      <c r="D46" s="122"/>
      <c r="E46" s="122"/>
      <c r="F46" s="122"/>
      <c r="G46" s="122"/>
      <c r="H46" s="122"/>
      <c r="I46" s="5">
        <f>VLOOKUP(I7,Dados!A2:AG13,27,0)</f>
        <v>1441623.46</v>
      </c>
      <c r="J46" s="5">
        <f>VLOOKUP(J7,Dados!A2:AG13,27,0)</f>
        <v>1748700.1599999999</v>
      </c>
      <c r="K46" s="5">
        <f>VLOOKUP(K7,Dados!A2:AG13,27,0)</f>
        <v>1773442.85</v>
      </c>
      <c r="L46" s="5">
        <f>K46</f>
        <v>1773442.85</v>
      </c>
    </row>
    <row r="47" spans="1:12" x14ac:dyDescent="0.25">
      <c r="A47" s="125" t="str">
        <f>Geral!A43</f>
        <v>Disponibilidade Financeira</v>
      </c>
      <c r="B47" s="125"/>
      <c r="C47" s="125"/>
      <c r="D47" s="125"/>
      <c r="E47" s="125"/>
      <c r="F47" s="125"/>
      <c r="G47" s="125"/>
      <c r="H47" s="126"/>
      <c r="I47" s="14">
        <f>VLOOKUP(I7,Dados!A2:AG13,28,0)</f>
        <v>0</v>
      </c>
      <c r="J47" s="14">
        <f>VLOOKUP(J7,Dados!A2:AG13,28,0)</f>
        <v>0</v>
      </c>
      <c r="K47" s="14">
        <f>VLOOKUP(K7,Dados!A2:AG13,28,0)</f>
        <v>0</v>
      </c>
      <c r="L47" s="14">
        <f>K47</f>
        <v>0</v>
      </c>
    </row>
    <row r="48" spans="1:12" x14ac:dyDescent="0.25">
      <c r="A48" s="118" t="s">
        <v>27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5">
        <f>SUM(L45:L47)</f>
        <v>15689078.6</v>
      </c>
    </row>
    <row r="49" spans="1:12" x14ac:dyDescent="0.25">
      <c r="A49" s="114" t="s">
        <v>22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6"/>
    </row>
    <row r="50" spans="1:12" x14ac:dyDescent="0.25">
      <c r="A50" s="121" t="str">
        <f>Geral!A46</f>
        <v>330-8</v>
      </c>
      <c r="B50" s="121"/>
      <c r="C50" s="121"/>
      <c r="D50" s="121"/>
      <c r="E50" s="121"/>
      <c r="F50" s="121"/>
      <c r="G50" s="121"/>
      <c r="H50" s="121"/>
      <c r="I50" s="11">
        <f>VLOOKUP(I7,Dados!A2:AG13,29,0)</f>
        <v>63252128.350000001</v>
      </c>
      <c r="J50" s="11">
        <f>VLOOKUP(J7,Dados!A2:AG13,29,0)</f>
        <v>63173508.439999998</v>
      </c>
      <c r="K50" s="11">
        <f>VLOOKUP(K7,Dados!A2:AG13,29,0)</f>
        <v>64001590.039999999</v>
      </c>
      <c r="L50" s="11">
        <f>K50</f>
        <v>64001590.039999999</v>
      </c>
    </row>
    <row r="51" spans="1:12" x14ac:dyDescent="0.25">
      <c r="A51" s="122" t="str">
        <f>Geral!A47</f>
        <v>48828-3</v>
      </c>
      <c r="B51" s="122"/>
      <c r="C51" s="122"/>
      <c r="D51" s="122"/>
      <c r="E51" s="122"/>
      <c r="F51" s="122"/>
      <c r="G51" s="122"/>
      <c r="H51" s="122"/>
      <c r="I51" s="5">
        <f>VLOOKUP(I7,Dados!A2:AG13,30,0)</f>
        <v>16624533.539999999</v>
      </c>
      <c r="J51" s="5">
        <f>VLOOKUP(J7,Dados!A2:AG13,30,0)</f>
        <v>17675373.899999999</v>
      </c>
      <c r="K51" s="5">
        <f>VLOOKUP(K7,Dados!A2:AG13,30,0)</f>
        <v>18964317.940000001</v>
      </c>
      <c r="L51" s="5">
        <f>K51</f>
        <v>18964317.940000001</v>
      </c>
    </row>
    <row r="52" spans="1:12" x14ac:dyDescent="0.25">
      <c r="A52" s="124">
        <f>Geral!A48</f>
        <v>4452</v>
      </c>
      <c r="B52" s="125"/>
      <c r="C52" s="125"/>
      <c r="D52" s="125"/>
      <c r="E52" s="125"/>
      <c r="F52" s="125"/>
      <c r="G52" s="125"/>
      <c r="H52" s="126"/>
      <c r="I52" s="14">
        <f>VLOOKUP(I7,Dados!A2:AG13,31,0)</f>
        <v>0</v>
      </c>
      <c r="J52" s="14">
        <f>VLOOKUP(J7,Dados!A2:AG13,31,0)</f>
        <v>0</v>
      </c>
      <c r="K52" s="14">
        <f>VLOOKUP(K7,Dados!A2:AG13,31,0)</f>
        <v>0</v>
      </c>
      <c r="L52" s="5">
        <f t="shared" ref="L52:L54" si="2">K52</f>
        <v>0</v>
      </c>
    </row>
    <row r="53" spans="1:12" x14ac:dyDescent="0.25">
      <c r="A53" s="124">
        <f>Geral!A49</f>
        <v>93141</v>
      </c>
      <c r="B53" s="125"/>
      <c r="C53" s="125"/>
      <c r="D53" s="125"/>
      <c r="E53" s="125"/>
      <c r="F53" s="125"/>
      <c r="G53" s="125"/>
      <c r="H53" s="126"/>
      <c r="I53" s="14">
        <f>VLOOKUP(I7,Dados!A2:AG13,32,0)</f>
        <v>0</v>
      </c>
      <c r="J53" s="14">
        <f>VLOOKUP(J7,Dados!A2:AG13,32,0)</f>
        <v>0</v>
      </c>
      <c r="K53" s="14">
        <f>VLOOKUP(K7,Dados!A2:AG13,32,0)</f>
        <v>0</v>
      </c>
      <c r="L53" s="5">
        <f t="shared" si="2"/>
        <v>0</v>
      </c>
    </row>
    <row r="54" spans="1:12" x14ac:dyDescent="0.25">
      <c r="A54" s="127" t="str">
        <f>Geral!A50</f>
        <v>Disponibilidade Financeira</v>
      </c>
      <c r="B54" s="128"/>
      <c r="C54" s="128"/>
      <c r="D54" s="128"/>
      <c r="E54" s="128"/>
      <c r="F54" s="128"/>
      <c r="G54" s="128"/>
      <c r="H54" s="129"/>
      <c r="I54" s="14">
        <f>VLOOKUP(I7,Dados!A2:AG13,33,0)</f>
        <v>0</v>
      </c>
      <c r="J54" s="14">
        <f>VLOOKUP(J7,Dados!A2:AG13,33,0)</f>
        <v>0</v>
      </c>
      <c r="K54" s="14">
        <f>VLOOKUP(K7,Dados!A2:AG13,33,0)</f>
        <v>0</v>
      </c>
      <c r="L54" s="5">
        <f t="shared" si="2"/>
        <v>0</v>
      </c>
    </row>
    <row r="55" spans="1:12" x14ac:dyDescent="0.25">
      <c r="A55" s="118" t="s">
        <v>27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6">
        <f>SUM(L50:L54)</f>
        <v>82965907.980000004</v>
      </c>
    </row>
    <row r="56" spans="1:12" x14ac:dyDescent="0.25">
      <c r="A56" s="8"/>
      <c r="B56" s="8"/>
      <c r="C56" s="8"/>
      <c r="D56" s="8"/>
      <c r="E56" s="8"/>
      <c r="F56" s="8"/>
      <c r="G56" s="8"/>
      <c r="H56" s="8"/>
      <c r="I56" s="13"/>
      <c r="J56" s="13"/>
      <c r="K56" s="13"/>
      <c r="L56" s="13"/>
    </row>
    <row r="57" spans="1:12" x14ac:dyDescent="0.25">
      <c r="A57" s="8"/>
      <c r="B57" s="8"/>
      <c r="C57" s="8"/>
      <c r="D57" s="8"/>
      <c r="E57" s="8"/>
      <c r="F57" s="8"/>
      <c r="G57" s="8"/>
      <c r="H57" s="8"/>
      <c r="I57" s="13"/>
      <c r="J57" s="13"/>
      <c r="K57" s="13"/>
      <c r="L57" s="13"/>
    </row>
    <row r="58" spans="1:12" ht="32.25" customHeight="1" x14ac:dyDescent="0.25">
      <c r="A58" s="119" t="s">
        <v>28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25">
      <c r="A60" s="120">
        <f ca="1">TODAY()</f>
        <v>43879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1:12" x14ac:dyDescent="0.25">
      <c r="A61" s="123" t="s">
        <v>47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</row>
    <row r="63" spans="1:12" x14ac:dyDescent="0.2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1:12" x14ac:dyDescent="0.25">
      <c r="A64" s="117" t="s">
        <v>51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8" spans="1:12" x14ac:dyDescent="0.25">
      <c r="A68" s="22" t="s">
        <v>63</v>
      </c>
      <c r="B68" s="22"/>
      <c r="C68" s="22"/>
      <c r="D68" s="22"/>
      <c r="E68" s="22"/>
      <c r="F68" s="22"/>
      <c r="G68" s="22"/>
      <c r="H68" s="22"/>
      <c r="I68" s="23">
        <f>I9+I11+I13+I15+I18+I22+I23+I25</f>
        <v>949735.7</v>
      </c>
      <c r="J68" s="23">
        <f t="shared" ref="J68:K68" si="3">J9+J11+J13+J15+J18+J22+J23+J25</f>
        <v>1137239.72</v>
      </c>
      <c r="K68" s="23">
        <f t="shared" si="3"/>
        <v>1153516.17</v>
      </c>
      <c r="L68" s="22"/>
    </row>
    <row r="69" spans="1:12" x14ac:dyDescent="0.25">
      <c r="A69" s="22" t="s">
        <v>64</v>
      </c>
      <c r="B69" s="22"/>
      <c r="C69" s="22"/>
      <c r="D69" s="22"/>
      <c r="E69" s="22"/>
      <c r="F69" s="22"/>
      <c r="G69" s="22"/>
      <c r="H69" s="22"/>
      <c r="I69" s="23">
        <f>I29+I31+I33+I35+I37+I39+I40</f>
        <v>2079245.2099999997</v>
      </c>
      <c r="J69" s="23">
        <f t="shared" ref="J69:K69" si="4">J29+J31+J33+J35+J37+J39+J40</f>
        <v>2118339.42</v>
      </c>
      <c r="K69" s="23">
        <f t="shared" si="4"/>
        <v>2154385.5699999998</v>
      </c>
      <c r="L69" s="22"/>
    </row>
    <row r="70" spans="1:12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x14ac:dyDescent="0.25">
      <c r="A71" s="22" t="s">
        <v>62</v>
      </c>
      <c r="B71" s="22"/>
      <c r="C71" s="22"/>
      <c r="D71" s="22"/>
      <c r="E71" s="22"/>
      <c r="F71" s="22"/>
      <c r="G71" s="22"/>
      <c r="H71" s="22"/>
      <c r="I71" s="23">
        <f>I10+I12+I16+I19</f>
        <v>1990398.2200000002</v>
      </c>
      <c r="J71" s="23">
        <f t="shared" ref="J71:K71" si="5">J10+J12+J16+J19</f>
        <v>1264612.9099999999</v>
      </c>
      <c r="K71" s="23">
        <f t="shared" si="5"/>
        <v>2259159.4700000002</v>
      </c>
      <c r="L71" s="22"/>
    </row>
    <row r="72" spans="1:12" x14ac:dyDescent="0.25">
      <c r="A72" s="22" t="s">
        <v>61</v>
      </c>
      <c r="B72" s="22"/>
      <c r="C72" s="22"/>
      <c r="D72" s="22"/>
      <c r="E72" s="22"/>
      <c r="F72" s="22"/>
      <c r="G72" s="22"/>
      <c r="H72" s="22"/>
      <c r="I72" s="23">
        <f>I30+I32+I34+I36+I38</f>
        <v>154256.19</v>
      </c>
      <c r="J72" s="23">
        <f t="shared" ref="J72:K72" si="6">J30+J32+J34+J36+J38</f>
        <v>143425.51</v>
      </c>
      <c r="K72" s="23">
        <f t="shared" si="6"/>
        <v>142133.83000000002</v>
      </c>
      <c r="L72" s="22"/>
    </row>
    <row r="73" spans="1:12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x14ac:dyDescent="0.25">
      <c r="A74" s="22" t="s">
        <v>65</v>
      </c>
      <c r="B74" s="22"/>
      <c r="C74" s="22"/>
      <c r="D74" s="22"/>
      <c r="E74" s="22"/>
      <c r="F74" s="22"/>
      <c r="G74" s="22"/>
      <c r="H74" s="22"/>
      <c r="I74" s="23">
        <f>I45+I46+I47</f>
        <v>17701908.370000001</v>
      </c>
      <c r="J74" s="23">
        <f t="shared" ref="J74:K74" si="7">J45+J46+J47</f>
        <v>16689948</v>
      </c>
      <c r="K74" s="23">
        <f t="shared" si="7"/>
        <v>15689078.6</v>
      </c>
      <c r="L74" s="22"/>
    </row>
    <row r="75" spans="1:12" x14ac:dyDescent="0.25">
      <c r="A75" s="22" t="s">
        <v>66</v>
      </c>
      <c r="B75" s="22"/>
      <c r="C75" s="22"/>
      <c r="D75" s="22"/>
      <c r="E75" s="22"/>
      <c r="F75" s="22"/>
      <c r="G75" s="22"/>
      <c r="H75" s="22"/>
      <c r="I75" s="23">
        <f>I50+I51+I52+I53+I54</f>
        <v>79876661.890000001</v>
      </c>
      <c r="J75" s="23">
        <f t="shared" ref="J75:K75" si="8">J50+J51+J52+J53+J54</f>
        <v>80848882.340000004</v>
      </c>
      <c r="K75" s="23">
        <f t="shared" si="8"/>
        <v>82965907.980000004</v>
      </c>
      <c r="L75" s="22"/>
    </row>
    <row r="76" spans="1:12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</sheetData>
  <mergeCells count="54">
    <mergeCell ref="A64:L64"/>
    <mergeCell ref="A55:K55"/>
    <mergeCell ref="A58:L58"/>
    <mergeCell ref="A60:L60"/>
    <mergeCell ref="A45:H45"/>
    <mergeCell ref="A50:H50"/>
    <mergeCell ref="A51:H51"/>
    <mergeCell ref="A61:L61"/>
    <mergeCell ref="A63:L63"/>
    <mergeCell ref="A48:K48"/>
    <mergeCell ref="A49:L49"/>
    <mergeCell ref="A46:H46"/>
    <mergeCell ref="A52:H52"/>
    <mergeCell ref="A53:H53"/>
    <mergeCell ref="A54:H54"/>
    <mergeCell ref="A47:H47"/>
    <mergeCell ref="A38:H38"/>
    <mergeCell ref="A39:H39"/>
    <mergeCell ref="A41:H41"/>
    <mergeCell ref="A42:L43"/>
    <mergeCell ref="A44:L44"/>
    <mergeCell ref="A40:H40"/>
    <mergeCell ref="A33:H33"/>
    <mergeCell ref="A34:H34"/>
    <mergeCell ref="A35:H35"/>
    <mergeCell ref="A36:H36"/>
    <mergeCell ref="A37:H37"/>
    <mergeCell ref="A32:H32"/>
    <mergeCell ref="A18:H18"/>
    <mergeCell ref="A19:H19"/>
    <mergeCell ref="A20:L21"/>
    <mergeCell ref="A22:H22"/>
    <mergeCell ref="A23:H23"/>
    <mergeCell ref="A25:H25"/>
    <mergeCell ref="A26:H26"/>
    <mergeCell ref="A27:L28"/>
    <mergeCell ref="A29:H29"/>
    <mergeCell ref="A30:H30"/>
    <mergeCell ref="A31:H31"/>
    <mergeCell ref="A16:H16"/>
    <mergeCell ref="A1:L2"/>
    <mergeCell ref="A3:L4"/>
    <mergeCell ref="A5:L6"/>
    <mergeCell ref="A7:H8"/>
    <mergeCell ref="I7:I8"/>
    <mergeCell ref="J7:J8"/>
    <mergeCell ref="K7:K8"/>
    <mergeCell ref="L7:L8"/>
    <mergeCell ref="A9:H9"/>
    <mergeCell ref="A10:H10"/>
    <mergeCell ref="A11:H11"/>
    <mergeCell ref="A13:H13"/>
    <mergeCell ref="A15:H15"/>
    <mergeCell ref="A12:H12"/>
  </mergeCells>
  <dataValidations count="1">
    <dataValidation type="list" allowBlank="1" showInputMessage="1" showErrorMessage="1" sqref="I7:K8">
      <formula1>"Janeiro,Fevereiro,Março,Abril,Maio,Junho,Julho,Agosto,Setembro,Outubro,Novembro,Dezembro"</formula1>
    </dataValidation>
  </dataValidation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B64" sqref="B64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P54" sqref="P54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opLeftCell="N1" workbookViewId="0">
      <selection activeCell="AF2" sqref="AF2:AF13"/>
    </sheetView>
  </sheetViews>
  <sheetFormatPr defaultRowHeight="12.75" x14ac:dyDescent="0.2"/>
  <cols>
    <col min="1" max="1" width="9.140625" style="1"/>
    <col min="2" max="3" width="10.140625" style="1" bestFit="1" customWidth="1"/>
    <col min="4" max="6" width="9.42578125" style="1" bestFit="1" customWidth="1"/>
    <col min="7" max="7" width="10.140625" style="1" bestFit="1" customWidth="1"/>
    <col min="8" max="8" width="11.7109375" style="1" bestFit="1" customWidth="1"/>
    <col min="9" max="9" width="10.140625" style="1" bestFit="1" customWidth="1"/>
    <col min="10" max="10" width="11.7109375" style="1" bestFit="1" customWidth="1"/>
    <col min="11" max="11" width="10.140625" style="1" bestFit="1" customWidth="1"/>
    <col min="12" max="12" width="9.42578125" style="1" bestFit="1" customWidth="1"/>
    <col min="13" max="13" width="10.140625" style="1" bestFit="1" customWidth="1"/>
    <col min="14" max="14" width="11.7109375" style="1" bestFit="1" customWidth="1"/>
    <col min="15" max="15" width="9.42578125" style="1" bestFit="1" customWidth="1"/>
    <col min="16" max="16" width="10.140625" style="1" bestFit="1" customWidth="1"/>
    <col min="17" max="20" width="9.42578125" style="1" bestFit="1" customWidth="1"/>
    <col min="21" max="23" width="10.140625" style="1" bestFit="1" customWidth="1"/>
    <col min="24" max="24" width="9.42578125" style="1" bestFit="1" customWidth="1"/>
    <col min="25" max="25" width="10.28515625" style="1" customWidth="1"/>
    <col min="26" max="26" width="12.7109375" style="1" bestFit="1" customWidth="1"/>
    <col min="27" max="27" width="11.7109375" style="1" bestFit="1" customWidth="1"/>
    <col min="28" max="28" width="10.140625" style="1" bestFit="1" customWidth="1"/>
    <col min="29" max="30" width="12.7109375" style="1" bestFit="1" customWidth="1"/>
    <col min="31" max="32" width="12.7109375" style="1" customWidth="1"/>
    <col min="33" max="33" width="9.42578125" style="1" bestFit="1" customWidth="1"/>
    <col min="34" max="16384" width="9.140625" style="1"/>
  </cols>
  <sheetData>
    <row r="1" spans="1:33" x14ac:dyDescent="0.2">
      <c r="A1" s="1" t="s">
        <v>56</v>
      </c>
      <c r="B1" s="1" t="s">
        <v>52</v>
      </c>
      <c r="C1" s="1" t="s">
        <v>50</v>
      </c>
      <c r="D1" s="1" t="s">
        <v>44</v>
      </c>
      <c r="E1" s="1" t="s">
        <v>45</v>
      </c>
      <c r="F1" s="1" t="s">
        <v>46</v>
      </c>
      <c r="G1" s="1" t="s">
        <v>53</v>
      </c>
      <c r="H1" s="1" t="s">
        <v>40</v>
      </c>
      <c r="I1" s="1" t="s">
        <v>33</v>
      </c>
      <c r="J1" s="1" t="s">
        <v>34</v>
      </c>
      <c r="K1" s="1" t="s">
        <v>54</v>
      </c>
      <c r="L1" s="1" t="s">
        <v>55</v>
      </c>
      <c r="M1" s="1" t="s">
        <v>39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8</v>
      </c>
      <c r="Y1" s="1" t="s">
        <v>69</v>
      </c>
      <c r="Z1" s="1" t="s">
        <v>23</v>
      </c>
      <c r="AA1" s="1" t="s">
        <v>25</v>
      </c>
      <c r="AB1" s="1" t="s">
        <v>32</v>
      </c>
      <c r="AC1" s="1" t="s">
        <v>24</v>
      </c>
      <c r="AD1" s="1" t="s">
        <v>26</v>
      </c>
      <c r="AE1" s="1">
        <v>4452</v>
      </c>
      <c r="AF1" s="1">
        <v>93141</v>
      </c>
      <c r="AG1" s="1" t="s">
        <v>32</v>
      </c>
    </row>
    <row r="2" spans="1:33" x14ac:dyDescent="0.2">
      <c r="A2" s="1" t="s">
        <v>41</v>
      </c>
      <c r="B2" s="21">
        <f>Geral!E5</f>
        <v>253216.4</v>
      </c>
      <c r="C2" s="21">
        <f>Geral!E6</f>
        <v>369697.99</v>
      </c>
      <c r="D2" s="21">
        <f>Geral!E7</f>
        <v>3087.55</v>
      </c>
      <c r="E2" s="21">
        <f>Geral!E8</f>
        <v>27.43</v>
      </c>
      <c r="F2" s="21">
        <f>Geral!E9</f>
        <v>297.47000000000003</v>
      </c>
      <c r="G2" s="21">
        <f>Geral!E11</f>
        <v>405369.64</v>
      </c>
      <c r="H2" s="21">
        <f>Geral!E12</f>
        <v>591798.34</v>
      </c>
      <c r="I2" s="21">
        <f>Geral!E14</f>
        <v>170757.71</v>
      </c>
      <c r="J2" s="21">
        <f>Geral!E15</f>
        <v>429522.72</v>
      </c>
      <c r="K2" s="21">
        <f>Geral!E18</f>
        <v>111249.16</v>
      </c>
      <c r="L2" s="21">
        <f>Geral!E19</f>
        <v>94354.6</v>
      </c>
      <c r="M2" s="21">
        <f>Geral!E21</f>
        <v>95224.46</v>
      </c>
      <c r="N2" s="21">
        <f>Geral!E25</f>
        <v>1565414.42</v>
      </c>
      <c r="O2" s="21">
        <f>Geral!E26</f>
        <v>16340.98</v>
      </c>
      <c r="P2" s="21">
        <f>Geral!E27</f>
        <v>281840.31</v>
      </c>
      <c r="Q2" s="21">
        <f>Geral!E28</f>
        <v>5581.39</v>
      </c>
      <c r="R2" s="21">
        <f>Geral!E29</f>
        <v>0</v>
      </c>
      <c r="S2" s="21">
        <f>Geral!E30</f>
        <v>1902.4</v>
      </c>
      <c r="T2" s="21">
        <f>Geral!E31</f>
        <v>0</v>
      </c>
      <c r="U2" s="21">
        <f>Geral!E32</f>
        <v>52276.05</v>
      </c>
      <c r="V2" s="21">
        <f>Geral!E33</f>
        <v>76684.490000000005</v>
      </c>
      <c r="W2" s="21">
        <f>Geral!E34</f>
        <v>30446.76</v>
      </c>
      <c r="X2" s="21">
        <f>Geral!E35</f>
        <v>8919.17</v>
      </c>
      <c r="Y2" s="1">
        <f>Geral!E36</f>
        <v>0</v>
      </c>
      <c r="Z2" s="21">
        <f>Geral!E41</f>
        <v>21473044.739999998</v>
      </c>
      <c r="AA2" s="21">
        <f>Geral!E42</f>
        <v>1505513.5</v>
      </c>
      <c r="AB2" s="21">
        <f>Geral!E43</f>
        <v>208223.27</v>
      </c>
      <c r="AC2" s="21">
        <f>Geral!E46</f>
        <v>59536353.960000001</v>
      </c>
      <c r="AD2" s="21">
        <f>Geral!E47</f>
        <v>10116988.67</v>
      </c>
      <c r="AE2" s="21">
        <f>Geral!E48</f>
        <v>0</v>
      </c>
      <c r="AF2" s="21">
        <f>Geral!E49</f>
        <v>0</v>
      </c>
      <c r="AG2" s="21">
        <f>Geral!E50</f>
        <v>0</v>
      </c>
    </row>
    <row r="3" spans="1:33" x14ac:dyDescent="0.2">
      <c r="A3" s="1" t="s">
        <v>42</v>
      </c>
      <c r="B3" s="21">
        <f>Geral!F5</f>
        <v>252169.63</v>
      </c>
      <c r="C3" s="21">
        <f>Geral!F6</f>
        <v>409971.45</v>
      </c>
      <c r="D3" s="21">
        <f>Geral!F7</f>
        <v>3265.03</v>
      </c>
      <c r="E3" s="21">
        <f>Geral!F8</f>
        <v>27.43</v>
      </c>
      <c r="F3" s="21">
        <f>Geral!F9</f>
        <v>297.47000000000003</v>
      </c>
      <c r="G3" s="21">
        <f>Geral!F11</f>
        <v>403675.61</v>
      </c>
      <c r="H3" s="21">
        <f>Geral!F12</f>
        <v>656292.18999999994</v>
      </c>
      <c r="I3" s="21">
        <f>Geral!F14</f>
        <v>100566.76</v>
      </c>
      <c r="J3" s="21">
        <f>Geral!F15</f>
        <v>307762.24</v>
      </c>
      <c r="K3" s="21">
        <f>Geral!F18</f>
        <v>111809.1</v>
      </c>
      <c r="L3" s="21">
        <f>Geral!F19</f>
        <v>94829.51</v>
      </c>
      <c r="M3" s="21">
        <f>Geral!F21</f>
        <v>98489.14</v>
      </c>
      <c r="N3" s="21">
        <f>Geral!F25</f>
        <v>1595075.09</v>
      </c>
      <c r="O3" s="21">
        <f>Geral!F26</f>
        <v>16340.98</v>
      </c>
      <c r="P3" s="21">
        <f>Geral!F27</f>
        <v>281840.31</v>
      </c>
      <c r="Q3" s="21">
        <f>Geral!F28</f>
        <v>5581.39</v>
      </c>
      <c r="R3" s="21">
        <f>Geral!F29</f>
        <v>0</v>
      </c>
      <c r="S3" s="21">
        <f>Geral!F30</f>
        <v>2269.54</v>
      </c>
      <c r="T3" s="21">
        <f>Geral!F31</f>
        <v>2246.2800000000002</v>
      </c>
      <c r="U3" s="21">
        <f>Geral!F32</f>
        <v>60801.46</v>
      </c>
      <c r="V3" s="21">
        <f>Geral!F33</f>
        <v>68494.67</v>
      </c>
      <c r="W3" s="21">
        <f>Geral!F34</f>
        <v>40351.79</v>
      </c>
      <c r="X3" s="21">
        <f>Geral!F35</f>
        <v>9224.82</v>
      </c>
      <c r="Y3" s="21">
        <f>Geral!F36</f>
        <v>0</v>
      </c>
      <c r="Z3" s="21">
        <f>Geral!F41</f>
        <v>20745495.949999999</v>
      </c>
      <c r="AA3" s="21">
        <f>Geral!F42</f>
        <v>1549255.05</v>
      </c>
      <c r="AB3" s="21">
        <f>Geral!F43</f>
        <v>0</v>
      </c>
      <c r="AC3" s="21">
        <f>Geral!F46</f>
        <v>59786964.469999999</v>
      </c>
      <c r="AD3" s="21">
        <f>Geral!F47</f>
        <v>11115337.9</v>
      </c>
      <c r="AE3" s="21">
        <f>Geral!F48</f>
        <v>0</v>
      </c>
      <c r="AF3" s="21">
        <f>Geral!F49</f>
        <v>0</v>
      </c>
      <c r="AG3" s="21">
        <f>Geral!F50</f>
        <v>0</v>
      </c>
    </row>
    <row r="4" spans="1:33" x14ac:dyDescent="0.2">
      <c r="A4" s="1" t="s">
        <v>43</v>
      </c>
      <c r="B4" s="21">
        <f>Geral!G5</f>
        <v>250838.86</v>
      </c>
      <c r="C4" s="21">
        <f>Geral!G6</f>
        <v>420384.41</v>
      </c>
      <c r="D4" s="21">
        <f>Geral!G7</f>
        <v>3291.96</v>
      </c>
      <c r="E4" s="21">
        <f>Geral!G8</f>
        <v>27.43</v>
      </c>
      <c r="F4" s="21">
        <f>Geral!G9</f>
        <v>297.47000000000003</v>
      </c>
      <c r="G4" s="21">
        <f>Geral!G11</f>
        <v>401549.05</v>
      </c>
      <c r="H4" s="21">
        <f>Geral!G12</f>
        <v>672996.78</v>
      </c>
      <c r="I4" s="21">
        <f>Geral!G14</f>
        <v>100049.7</v>
      </c>
      <c r="J4" s="21">
        <f>Geral!G15</f>
        <v>342580.42</v>
      </c>
      <c r="K4" s="21">
        <f>Geral!G18</f>
        <v>112619.99</v>
      </c>
      <c r="L4" s="21">
        <f>Geral!G19</f>
        <v>95517.26</v>
      </c>
      <c r="M4" s="21">
        <f>Geral!G21</f>
        <v>98489.14</v>
      </c>
      <c r="N4" s="21">
        <f>Geral!G25</f>
        <v>1612960.5</v>
      </c>
      <c r="O4" s="21">
        <f>Geral!G26</f>
        <v>16340.98</v>
      </c>
      <c r="P4" s="21">
        <f>Geral!G27</f>
        <v>281840.31</v>
      </c>
      <c r="Q4" s="21">
        <f>Geral!G28</f>
        <v>5581.39</v>
      </c>
      <c r="R4" s="21">
        <f>Geral!G29</f>
        <v>0</v>
      </c>
      <c r="S4" s="21">
        <f>Geral!G30</f>
        <v>2033.6</v>
      </c>
      <c r="T4" s="21">
        <f>Geral!G31</f>
        <v>2246.2800000000002</v>
      </c>
      <c r="U4" s="21">
        <f>Geral!G32</f>
        <v>68698.89</v>
      </c>
      <c r="V4" s="21">
        <f>Geral!G33</f>
        <v>90423.08</v>
      </c>
      <c r="W4" s="21">
        <f>Geral!G34</f>
        <v>67114.789999999994</v>
      </c>
      <c r="X4" s="21">
        <f>Geral!G35</f>
        <v>9224.82</v>
      </c>
      <c r="Y4" s="21">
        <f>Geral!G36</f>
        <v>0</v>
      </c>
      <c r="Z4" s="21">
        <f>Geral!G41</f>
        <v>19788050.399999999</v>
      </c>
      <c r="AA4" s="21">
        <f>Geral!G42</f>
        <v>1560805.47</v>
      </c>
      <c r="AB4" s="21">
        <f>Geral!G43</f>
        <v>0</v>
      </c>
      <c r="AC4" s="21">
        <f>Geral!G46</f>
        <v>60062883.420000002</v>
      </c>
      <c r="AD4" s="21">
        <f>Geral!G47</f>
        <v>12115638.34</v>
      </c>
      <c r="AE4" s="21">
        <f>Geral!G48</f>
        <v>0</v>
      </c>
      <c r="AF4" s="21">
        <f>Geral!G49</f>
        <v>0</v>
      </c>
      <c r="AG4" s="21">
        <f>Geral!G50</f>
        <v>0</v>
      </c>
    </row>
    <row r="5" spans="1:33" x14ac:dyDescent="0.2">
      <c r="A5" s="1" t="s">
        <v>36</v>
      </c>
      <c r="B5" s="21">
        <f>Geral!H5</f>
        <v>0</v>
      </c>
      <c r="C5" s="21">
        <f>Geral!H6</f>
        <v>4933.26</v>
      </c>
      <c r="D5" s="21">
        <f>Geral!H7</f>
        <v>3353.6</v>
      </c>
      <c r="E5" s="21">
        <f>Geral!H8</f>
        <v>27.43</v>
      </c>
      <c r="F5" s="21">
        <f>Geral!H9</f>
        <v>297.47000000000003</v>
      </c>
      <c r="G5" s="21">
        <f>Geral!H11</f>
        <v>0</v>
      </c>
      <c r="H5" s="21">
        <f>Geral!H12</f>
        <v>7897.81</v>
      </c>
      <c r="I5" s="21">
        <f>Geral!H14</f>
        <v>193497.31</v>
      </c>
      <c r="J5" s="21">
        <f>Geral!H15</f>
        <v>397602.84</v>
      </c>
      <c r="K5" s="21">
        <f>Geral!H18</f>
        <v>114514.54</v>
      </c>
      <c r="L5" s="21">
        <f>Geral!H19</f>
        <v>97124.09</v>
      </c>
      <c r="M5" s="21">
        <f>Geral!H21</f>
        <v>98290.52</v>
      </c>
      <c r="N5" s="21">
        <f>Geral!H25</f>
        <v>1648267.66</v>
      </c>
      <c r="O5" s="21">
        <f>Geral!H26</f>
        <v>18569.54</v>
      </c>
      <c r="P5" s="21">
        <f>Geral!H27</f>
        <v>281840.31</v>
      </c>
      <c r="Q5" s="21">
        <f>Geral!H28</f>
        <v>5581.39</v>
      </c>
      <c r="R5" s="21">
        <f>Geral!H29</f>
        <v>0</v>
      </c>
      <c r="S5" s="21">
        <f>Geral!H30</f>
        <v>0</v>
      </c>
      <c r="T5" s="21">
        <f>Geral!H31</f>
        <v>0</v>
      </c>
      <c r="U5" s="21">
        <f>Geral!H32</f>
        <v>0</v>
      </c>
      <c r="V5" s="21">
        <f>Geral!H33</f>
        <v>0</v>
      </c>
      <c r="W5" s="21">
        <f>Geral!H34</f>
        <v>0</v>
      </c>
      <c r="X5" s="21">
        <f>Geral!H35</f>
        <v>9224.82</v>
      </c>
      <c r="Y5" s="21">
        <f>Geral!H36</f>
        <v>0</v>
      </c>
      <c r="Z5" s="21">
        <f>Geral!H41</f>
        <v>18322126.68</v>
      </c>
      <c r="AA5" s="21">
        <f>Geral!H42</f>
        <v>1594218.62</v>
      </c>
      <c r="AB5" s="21">
        <f>Geral!H43</f>
        <v>3651.07</v>
      </c>
      <c r="AC5" s="21">
        <f>Geral!H46</f>
        <v>60370187.479999997</v>
      </c>
      <c r="AD5" s="21">
        <f>Geral!H47</f>
        <v>12191221.5</v>
      </c>
      <c r="AE5" s="21">
        <f>Geral!H48</f>
        <v>0</v>
      </c>
      <c r="AF5" s="21">
        <f>Geral!H49</f>
        <v>0</v>
      </c>
      <c r="AG5" s="21">
        <f>Geral!H50</f>
        <v>27.43</v>
      </c>
    </row>
    <row r="6" spans="1:33" x14ac:dyDescent="0.2">
      <c r="A6" s="1" t="s">
        <v>37</v>
      </c>
      <c r="B6" s="21">
        <f>Geral!I5</f>
        <v>493784.31</v>
      </c>
      <c r="C6" s="21">
        <f>Geral!I6</f>
        <v>859115.87</v>
      </c>
      <c r="D6" s="21">
        <f>Geral!I7</f>
        <v>3403.89</v>
      </c>
      <c r="E6" s="21">
        <f>Geral!I8</f>
        <v>27.43</v>
      </c>
      <c r="F6" s="21">
        <f>Geral!I9</f>
        <v>297.47000000000003</v>
      </c>
      <c r="G6" s="21">
        <f>Geral!I11</f>
        <v>790486.4</v>
      </c>
      <c r="H6" s="21">
        <f>Geral!I12</f>
        <v>1375326.88</v>
      </c>
      <c r="I6" s="21">
        <f>Geral!I14</f>
        <v>478527.96</v>
      </c>
      <c r="J6" s="21">
        <f>Geral!I15</f>
        <v>994554.59</v>
      </c>
      <c r="K6" s="21">
        <f>Geral!I18</f>
        <v>114927.37</v>
      </c>
      <c r="L6" s="21">
        <f>Geral!I19</f>
        <v>0</v>
      </c>
      <c r="M6" s="21">
        <f>Geral!I21</f>
        <v>0</v>
      </c>
      <c r="N6" s="21">
        <f>Geral!I25</f>
        <v>1678454.34</v>
      </c>
      <c r="O6" s="21">
        <f>Geral!I26</f>
        <v>19276.009999999998</v>
      </c>
      <c r="P6" s="21">
        <f>Geral!I27</f>
        <v>280842.31</v>
      </c>
      <c r="Q6" s="21">
        <f>Geral!I28</f>
        <v>7021.73</v>
      </c>
      <c r="R6" s="21">
        <f>Geral!I29</f>
        <v>0</v>
      </c>
      <c r="S6" s="21">
        <f>Geral!I30</f>
        <v>4231.2</v>
      </c>
      <c r="T6" s="21">
        <f>Geral!I31</f>
        <v>4492.5600000000004</v>
      </c>
      <c r="U6" s="21">
        <f>Geral!I32</f>
        <v>114854.39999999999</v>
      </c>
      <c r="V6" s="21">
        <f>Geral!I33</f>
        <v>172116.43</v>
      </c>
      <c r="W6" s="21">
        <f>Geral!I34</f>
        <v>136609.85999999999</v>
      </c>
      <c r="X6" s="21">
        <f>Geral!I35</f>
        <v>9224.82</v>
      </c>
      <c r="Y6" s="21">
        <f>Geral!I36</f>
        <v>0</v>
      </c>
      <c r="Z6" s="21">
        <f>Geral!I41</f>
        <v>18105960.550000001</v>
      </c>
      <c r="AA6" s="21">
        <f>Geral!I42</f>
        <v>1550332.76</v>
      </c>
      <c r="AB6" s="21">
        <f>Geral!I43</f>
        <v>0</v>
      </c>
      <c r="AC6" s="21">
        <f>Geral!I46</f>
        <v>61225601.609999999</v>
      </c>
      <c r="AD6" s="21">
        <f>Geral!I47</f>
        <v>14282866.369999999</v>
      </c>
      <c r="AE6" s="21">
        <f>Geral!I48</f>
        <v>0</v>
      </c>
      <c r="AF6" s="21">
        <f>Geral!I49</f>
        <v>0</v>
      </c>
      <c r="AG6" s="21">
        <f>Geral!I50</f>
        <v>0</v>
      </c>
    </row>
    <row r="7" spans="1:33" x14ac:dyDescent="0.2">
      <c r="A7" s="1" t="s">
        <v>38</v>
      </c>
      <c r="B7" s="21">
        <f>Geral!J5</f>
        <v>240513.49</v>
      </c>
      <c r="C7" s="21">
        <f>Geral!J6</f>
        <v>443046.78</v>
      </c>
      <c r="D7" s="21">
        <f>Geral!J7</f>
        <v>3403.89</v>
      </c>
      <c r="E7" s="21">
        <f>Geral!J8</f>
        <v>27.43</v>
      </c>
      <c r="F7" s="21">
        <f>Geral!J9</f>
        <v>297.47000000000003</v>
      </c>
      <c r="G7" s="21">
        <f>Geral!J11</f>
        <v>385040.45</v>
      </c>
      <c r="H7" s="21">
        <f>Geral!J12</f>
        <v>709235.47</v>
      </c>
      <c r="I7" s="21">
        <f>Geral!J14</f>
        <v>498526.68</v>
      </c>
      <c r="J7" s="21">
        <f>Geral!J15</f>
        <v>1555753.19</v>
      </c>
      <c r="K7" s="21">
        <f>Geral!J18</f>
        <v>116202.31</v>
      </c>
      <c r="L7" s="21">
        <f>Geral!J19</f>
        <v>0</v>
      </c>
      <c r="M7" s="21">
        <f>Geral!J21</f>
        <v>0</v>
      </c>
      <c r="N7" s="21">
        <f>Geral!J25</f>
        <v>1693084.18</v>
      </c>
      <c r="O7" s="21">
        <f>Geral!J26</f>
        <v>19726.72</v>
      </c>
      <c r="P7" s="21">
        <f>Geral!J27</f>
        <v>287455.17</v>
      </c>
      <c r="Q7" s="21">
        <f>Geral!J28</f>
        <v>7069.73</v>
      </c>
      <c r="R7" s="21">
        <f>Geral!J29</f>
        <v>0</v>
      </c>
      <c r="S7" s="21">
        <f>Geral!J30</f>
        <v>2132</v>
      </c>
      <c r="T7" s="21">
        <f>Geral!J31</f>
        <v>0</v>
      </c>
      <c r="U7" s="21">
        <f>Geral!J32</f>
        <v>54129.15</v>
      </c>
      <c r="V7" s="21">
        <f>Geral!J33</f>
        <v>78725.929999999993</v>
      </c>
      <c r="W7" s="21">
        <f>Geral!J34</f>
        <v>92953.39</v>
      </c>
      <c r="X7" s="21">
        <f>Geral!J35</f>
        <v>9594.44</v>
      </c>
      <c r="Y7" s="21">
        <f>Geral!J36</f>
        <v>0</v>
      </c>
      <c r="Z7" s="21">
        <f>Geral!J41</f>
        <v>17324837.359999999</v>
      </c>
      <c r="AA7" s="21">
        <f>Geral!J42</f>
        <v>1506580.52</v>
      </c>
      <c r="AB7" s="21">
        <f>Geral!J43</f>
        <v>10611.51</v>
      </c>
      <c r="AC7" s="21">
        <f>Geral!J46</f>
        <v>62575600.780000001</v>
      </c>
      <c r="AD7" s="21">
        <f>Geral!J47</f>
        <v>15464919.08</v>
      </c>
      <c r="AE7" s="21">
        <f>Geral!J48</f>
        <v>0</v>
      </c>
      <c r="AF7" s="21">
        <f>Geral!J49</f>
        <v>0</v>
      </c>
      <c r="AG7" s="21">
        <f>Geral!J50</f>
        <v>0</v>
      </c>
    </row>
    <row r="8" spans="1:33" x14ac:dyDescent="0.2">
      <c r="A8" s="1" t="s">
        <v>2</v>
      </c>
      <c r="B8" s="21">
        <f>Geral!K5</f>
        <v>240261.61</v>
      </c>
      <c r="C8" s="21">
        <f>Geral!K6</f>
        <v>445809.81</v>
      </c>
      <c r="D8" s="21">
        <f>Geral!K7</f>
        <v>3403.89</v>
      </c>
      <c r="E8" s="21">
        <f>Geral!K8</f>
        <v>27.43</v>
      </c>
      <c r="F8" s="21">
        <f>Geral!K9</f>
        <v>297.47000000000003</v>
      </c>
      <c r="G8" s="21">
        <f>Geral!K11</f>
        <v>380705.56</v>
      </c>
      <c r="H8" s="21">
        <f>Geral!K12</f>
        <v>712981.07</v>
      </c>
      <c r="I8" s="21">
        <f>Geral!K14</f>
        <v>208448.95</v>
      </c>
      <c r="J8" s="21">
        <f>Geral!K15</f>
        <v>831579.91</v>
      </c>
      <c r="K8" s="21">
        <f>Geral!K18</f>
        <v>116618.22</v>
      </c>
      <c r="L8" s="21">
        <f>Geral!K19</f>
        <v>0</v>
      </c>
      <c r="M8" s="21">
        <f>Geral!K21</f>
        <v>0</v>
      </c>
      <c r="N8" s="21">
        <f>Geral!K25</f>
        <v>1709219.83</v>
      </c>
      <c r="O8" s="21">
        <f>Geral!K26</f>
        <v>19726.72</v>
      </c>
      <c r="P8" s="21">
        <f>Geral!K27</f>
        <v>288568.88</v>
      </c>
      <c r="Q8" s="21">
        <f>Geral!K28</f>
        <v>7069.73</v>
      </c>
      <c r="R8" s="21">
        <f>Geral!K29</f>
        <v>0</v>
      </c>
      <c r="S8" s="21">
        <f>Geral!K30</f>
        <v>2033.6</v>
      </c>
      <c r="T8" s="21">
        <f>Geral!K31</f>
        <v>4694.38</v>
      </c>
      <c r="U8" s="21">
        <f>Geral!K32</f>
        <v>55879.99</v>
      </c>
      <c r="V8" s="21">
        <f>Geral!K33</f>
        <v>67167.679999999993</v>
      </c>
      <c r="W8" s="21">
        <f>Geral!K34</f>
        <v>69546.149999999994</v>
      </c>
      <c r="X8" s="21">
        <f>Geral!K35</f>
        <v>9594.44</v>
      </c>
      <c r="Y8" s="21">
        <f>Geral!K36</f>
        <v>0</v>
      </c>
      <c r="Z8" s="21">
        <f>Geral!K41</f>
        <v>16260284.91</v>
      </c>
      <c r="AA8" s="21">
        <f>Geral!K42</f>
        <v>1441623.46</v>
      </c>
      <c r="AB8" s="21">
        <f>Geral!K43</f>
        <v>0</v>
      </c>
      <c r="AC8" s="21">
        <f>Geral!K46</f>
        <v>63252128.350000001</v>
      </c>
      <c r="AD8" s="21">
        <f>Geral!K47</f>
        <v>16624533.539999999</v>
      </c>
      <c r="AE8" s="21">
        <f>Geral!K48</f>
        <v>0</v>
      </c>
      <c r="AF8" s="21">
        <f>Geral!K49</f>
        <v>0</v>
      </c>
      <c r="AG8" s="21">
        <f>Geral!K50</f>
        <v>0</v>
      </c>
    </row>
    <row r="9" spans="1:33" x14ac:dyDescent="0.2">
      <c r="A9" s="1" t="s">
        <v>3</v>
      </c>
      <c r="B9" s="21">
        <f>Geral!L5</f>
        <v>239999.58</v>
      </c>
      <c r="C9" s="21">
        <f>Geral!L6</f>
        <v>448783.5</v>
      </c>
      <c r="D9" s="21">
        <f>Geral!L7</f>
        <v>3418.14</v>
      </c>
      <c r="E9" s="21">
        <f>Geral!L8</f>
        <v>27.43</v>
      </c>
      <c r="F9" s="21">
        <f>Geral!L9</f>
        <v>297.47000000000003</v>
      </c>
      <c r="G9" s="21">
        <f>Geral!L11</f>
        <v>380278.64</v>
      </c>
      <c r="H9" s="21">
        <f>Geral!L12</f>
        <v>717741.34</v>
      </c>
      <c r="I9" s="21">
        <f>Geral!L14</f>
        <v>3715.59</v>
      </c>
      <c r="J9" s="21">
        <f>Geral!L15</f>
        <v>98060.64</v>
      </c>
      <c r="K9" s="21">
        <f>Geral!L18</f>
        <v>117165.7</v>
      </c>
      <c r="L9" s="21">
        <f>Geral!L19</f>
        <v>0</v>
      </c>
      <c r="M9" s="21">
        <f>Geral!L21</f>
        <v>392364.6</v>
      </c>
      <c r="N9" s="21">
        <f>Geral!L25</f>
        <v>1742841.75</v>
      </c>
      <c r="O9" s="21">
        <f>Geral!L26</f>
        <v>19310.89</v>
      </c>
      <c r="P9" s="21">
        <f>Geral!L27</f>
        <v>288568.88</v>
      </c>
      <c r="Q9" s="21">
        <f>Geral!L28</f>
        <v>7069.73</v>
      </c>
      <c r="R9" s="21">
        <f>Geral!L29</f>
        <v>0</v>
      </c>
      <c r="S9" s="21">
        <f>Geral!L30</f>
        <v>2066.4</v>
      </c>
      <c r="T9" s="21">
        <f>Geral!L31</f>
        <v>5018.13</v>
      </c>
      <c r="U9" s="21">
        <f>Geral!L32</f>
        <v>56244.28</v>
      </c>
      <c r="V9" s="21">
        <f>Geral!L33</f>
        <v>72316.22</v>
      </c>
      <c r="W9" s="21">
        <f>Geral!L34</f>
        <v>58734.21</v>
      </c>
      <c r="X9" s="21">
        <f>Geral!L35</f>
        <v>9594.44</v>
      </c>
      <c r="Y9" s="21">
        <f>Geral!L36</f>
        <v>0</v>
      </c>
      <c r="Z9" s="21">
        <f>Geral!L41</f>
        <v>14941247.84</v>
      </c>
      <c r="AA9" s="21">
        <f>Geral!L42</f>
        <v>1748700.1599999999</v>
      </c>
      <c r="AB9" s="21">
        <f>Geral!L43</f>
        <v>0</v>
      </c>
      <c r="AC9" s="21">
        <f>Geral!L46</f>
        <v>63173508.439999998</v>
      </c>
      <c r="AD9" s="21">
        <f>Geral!L47</f>
        <v>17675373.899999999</v>
      </c>
      <c r="AE9" s="21">
        <f>Geral!L48</f>
        <v>0</v>
      </c>
      <c r="AF9" s="21">
        <f>Geral!L49</f>
        <v>0</v>
      </c>
      <c r="AG9" s="21">
        <f>Geral!L50</f>
        <v>0</v>
      </c>
    </row>
    <row r="10" spans="1:33" x14ac:dyDescent="0.2">
      <c r="A10" s="1" t="s">
        <v>4</v>
      </c>
      <c r="B10" s="21">
        <f>Geral!M5</f>
        <v>232634.93</v>
      </c>
      <c r="C10" s="21">
        <f>Geral!M6</f>
        <v>451108.91</v>
      </c>
      <c r="D10" s="21">
        <f>Geral!M7</f>
        <v>4077.63</v>
      </c>
      <c r="E10" s="21">
        <f>Geral!M8</f>
        <v>27.43</v>
      </c>
      <c r="F10" s="21">
        <f>Geral!M9</f>
        <v>297.47000000000003</v>
      </c>
      <c r="G10" s="21">
        <f>Geral!M11</f>
        <v>368591.52</v>
      </c>
      <c r="H10" s="21">
        <f>Geral!M12</f>
        <v>721457.53</v>
      </c>
      <c r="I10" s="21">
        <f>Geral!M14</f>
        <v>332499.59999999998</v>
      </c>
      <c r="J10" s="21">
        <f>Geral!M15</f>
        <v>1086565.6000000001</v>
      </c>
      <c r="K10" s="21">
        <f>Geral!M18</f>
        <v>117722.9</v>
      </c>
      <c r="L10" s="21">
        <f>Geral!M19</f>
        <v>0</v>
      </c>
      <c r="M10" s="21">
        <f>Geral!M21</f>
        <v>97692.12</v>
      </c>
      <c r="N10" s="21">
        <f>Geral!M25</f>
        <v>1777391.38</v>
      </c>
      <c r="O10" s="21">
        <f>Geral!M26</f>
        <v>18728.72</v>
      </c>
      <c r="P10" s="21">
        <f>Geral!M27</f>
        <v>282386.8</v>
      </c>
      <c r="Q10" s="21">
        <f>Geral!M28</f>
        <v>7069.73</v>
      </c>
      <c r="R10" s="21">
        <f>Geral!M29</f>
        <v>0</v>
      </c>
      <c r="S10" s="21">
        <f>Geral!M30</f>
        <v>2000.8</v>
      </c>
      <c r="T10" s="21">
        <f>Geral!M31</f>
        <v>5018.13</v>
      </c>
      <c r="U10" s="21">
        <f>Geral!M32</f>
        <v>57543.3</v>
      </c>
      <c r="V10" s="21">
        <f>Geral!M33</f>
        <v>79994.820000000007</v>
      </c>
      <c r="W10" s="21">
        <f>Geral!M34</f>
        <v>56791.28</v>
      </c>
      <c r="X10" s="21">
        <f>Geral!M35</f>
        <v>9594.44</v>
      </c>
      <c r="Y10" s="21">
        <f>Geral!M36</f>
        <v>0</v>
      </c>
      <c r="Z10" s="21">
        <f>Geral!M41</f>
        <v>13915635.75</v>
      </c>
      <c r="AA10" s="21">
        <f>Geral!M42</f>
        <v>1773442.85</v>
      </c>
      <c r="AB10" s="21">
        <f>Geral!M43</f>
        <v>0</v>
      </c>
      <c r="AC10" s="21">
        <f>Geral!M46</f>
        <v>64001590.039999999</v>
      </c>
      <c r="AD10" s="21">
        <f>Geral!M47</f>
        <v>18964317.940000001</v>
      </c>
      <c r="AE10" s="21">
        <f>Geral!M48</f>
        <v>0</v>
      </c>
      <c r="AF10" s="21">
        <f>Geral!M49</f>
        <v>0</v>
      </c>
      <c r="AG10" s="21">
        <f>Geral!M50</f>
        <v>0</v>
      </c>
    </row>
    <row r="11" spans="1:33" x14ac:dyDescent="0.2">
      <c r="A11" s="1" t="s">
        <v>29</v>
      </c>
      <c r="B11" s="21">
        <f>Geral!N5</f>
        <v>232490.49</v>
      </c>
      <c r="C11" s="21">
        <f>Geral!N6</f>
        <v>450500.75</v>
      </c>
      <c r="D11" s="21">
        <f>Geral!N7</f>
        <v>4184.3599999999997</v>
      </c>
      <c r="E11" s="21">
        <f>Geral!N8</f>
        <v>27.43</v>
      </c>
      <c r="F11" s="21">
        <f>Geral!N9</f>
        <v>297.47000000000003</v>
      </c>
      <c r="G11" s="21">
        <f>Geral!N11</f>
        <v>372196.1</v>
      </c>
      <c r="H11" s="21">
        <f>Geral!N12</f>
        <v>721210.06</v>
      </c>
      <c r="I11" s="21">
        <f>Geral!N14</f>
        <v>277389.52</v>
      </c>
      <c r="J11" s="21">
        <f>Geral!N15</f>
        <v>1699990.36</v>
      </c>
      <c r="K11" s="21">
        <f>Geral!N18</f>
        <v>118077.95</v>
      </c>
      <c r="L11" s="21">
        <f>Geral!N19</f>
        <v>0</v>
      </c>
      <c r="M11" s="21">
        <f>Geral!N21</f>
        <v>97756.44</v>
      </c>
      <c r="N11" s="21">
        <f>Geral!N25</f>
        <v>1787424.83</v>
      </c>
      <c r="O11" s="21">
        <f>Geral!N26</f>
        <v>18728.72</v>
      </c>
      <c r="P11" s="21">
        <f>Geral!N27</f>
        <v>284804.73</v>
      </c>
      <c r="Q11" s="21">
        <f>Geral!N28</f>
        <v>7069.73</v>
      </c>
      <c r="R11" s="21">
        <f>Geral!N29</f>
        <v>0</v>
      </c>
      <c r="S11" s="21">
        <f>Geral!N30</f>
        <v>2099.1999999999998</v>
      </c>
      <c r="T11" s="21">
        <f>Geral!N31</f>
        <v>4856.25</v>
      </c>
      <c r="U11" s="21">
        <f>Geral!N32</f>
        <v>51299.55</v>
      </c>
      <c r="V11" s="21">
        <f>Geral!N33</f>
        <v>86370.53</v>
      </c>
      <c r="W11" s="21">
        <f>Geral!N34</f>
        <v>65569.66</v>
      </c>
      <c r="X11" s="21">
        <f>Geral!N35</f>
        <v>9594.44</v>
      </c>
      <c r="Y11" s="21">
        <f>Geral!N36</f>
        <v>0</v>
      </c>
      <c r="Z11" s="21">
        <f>Geral!N41</f>
        <v>12825503</v>
      </c>
      <c r="AA11" s="21">
        <f>Geral!N42</f>
        <v>1792917.15</v>
      </c>
      <c r="AB11" s="21">
        <f>Geral!N43</f>
        <v>0</v>
      </c>
      <c r="AC11" s="21">
        <f>Geral!N46</f>
        <v>65326438.939999998</v>
      </c>
      <c r="AD11" s="21">
        <f>Geral!N47</f>
        <v>20353588.359999999</v>
      </c>
      <c r="AE11" s="21">
        <f>Geral!N48</f>
        <v>12842.14</v>
      </c>
      <c r="AF11" s="21">
        <f>Geral!N49</f>
        <v>0</v>
      </c>
      <c r="AG11" s="21">
        <f>Geral!N50</f>
        <v>0</v>
      </c>
    </row>
    <row r="12" spans="1:33" x14ac:dyDescent="0.2">
      <c r="A12" s="1" t="s">
        <v>30</v>
      </c>
      <c r="B12" s="21">
        <f>Geral!O5</f>
        <v>225670.19</v>
      </c>
      <c r="C12" s="21">
        <f>Geral!O6</f>
        <v>456162.02</v>
      </c>
      <c r="D12" s="21">
        <f>Geral!O7</f>
        <v>4293.53</v>
      </c>
      <c r="E12" s="21">
        <f>Geral!O8</f>
        <v>27.43</v>
      </c>
      <c r="F12" s="21">
        <f>Geral!O9</f>
        <v>297.47000000000003</v>
      </c>
      <c r="G12" s="21">
        <f>Geral!O11</f>
        <v>361277.68</v>
      </c>
      <c r="H12" s="21">
        <f>Geral!O12</f>
        <v>730152.93</v>
      </c>
      <c r="I12" s="21">
        <f>Geral!O14</f>
        <v>1806.4</v>
      </c>
      <c r="J12" s="21">
        <f>Geral!O15</f>
        <v>53694.82</v>
      </c>
      <c r="K12" s="21">
        <f>Geral!O18</f>
        <v>118547.79</v>
      </c>
      <c r="L12" s="21">
        <f>Geral!O19</f>
        <v>0</v>
      </c>
      <c r="M12" s="21">
        <f>Geral!O21</f>
        <v>151400.13</v>
      </c>
      <c r="N12" s="21">
        <f>Geral!O25</f>
        <v>1809889.23</v>
      </c>
      <c r="O12" s="21">
        <f>Geral!O26</f>
        <v>18728.72</v>
      </c>
      <c r="P12" s="21">
        <f>Geral!O27</f>
        <v>288774.06</v>
      </c>
      <c r="Q12" s="21">
        <f>Geral!O28</f>
        <v>7069.73</v>
      </c>
      <c r="R12" s="21">
        <f>Geral!O29</f>
        <v>0</v>
      </c>
      <c r="S12" s="21">
        <f>Geral!O30</f>
        <v>2066.4</v>
      </c>
      <c r="T12" s="21">
        <f>Geral!O31</f>
        <v>0</v>
      </c>
      <c r="U12" s="21">
        <f>Geral!O32</f>
        <v>45868.62</v>
      </c>
      <c r="V12" s="21">
        <f>Geral!O33</f>
        <v>93665.18</v>
      </c>
      <c r="W12" s="21">
        <f>Geral!O34</f>
        <v>58396.34</v>
      </c>
      <c r="X12" s="21">
        <f>Geral!O35</f>
        <v>10732.14</v>
      </c>
      <c r="Y12" s="21">
        <f>Geral!O36</f>
        <v>0</v>
      </c>
      <c r="Z12" s="21">
        <f>Geral!O41</f>
        <v>10828247.699999999</v>
      </c>
      <c r="AA12" s="21">
        <f>Geral!O42</f>
        <v>1823585.29</v>
      </c>
      <c r="AB12" s="21">
        <f>Geral!O43</f>
        <v>497873.69</v>
      </c>
      <c r="AC12" s="21">
        <f>Geral!O46</f>
        <v>64931254.439999998</v>
      </c>
      <c r="AD12" s="21">
        <f>Geral!O47</f>
        <v>21249742.920000002</v>
      </c>
      <c r="AE12" s="21">
        <f>Geral!O48</f>
        <v>645.98</v>
      </c>
      <c r="AF12" s="21">
        <f>Geral!O49</f>
        <v>50002.71</v>
      </c>
      <c r="AG12" s="21">
        <f>Geral!O50</f>
        <v>0</v>
      </c>
    </row>
    <row r="13" spans="1:33" x14ac:dyDescent="0.2">
      <c r="A13" s="1" t="s">
        <v>31</v>
      </c>
      <c r="B13" s="21">
        <f>Geral!P5</f>
        <v>445678.89</v>
      </c>
      <c r="C13" s="21">
        <f>Geral!P6</f>
        <v>895541.53</v>
      </c>
      <c r="D13" s="21">
        <f>Geral!P7</f>
        <v>7837.75</v>
      </c>
      <c r="E13" s="21">
        <f>Geral!P8</f>
        <v>54.86</v>
      </c>
      <c r="F13" s="21">
        <f>Geral!P9</f>
        <v>594.94000000000005</v>
      </c>
      <c r="G13" s="21">
        <f>Geral!P11</f>
        <v>713465.3</v>
      </c>
      <c r="H13" s="21">
        <f>Geral!P12</f>
        <v>1433590.24</v>
      </c>
      <c r="I13" s="21">
        <f>Geral!P14</f>
        <v>77389.350000000006</v>
      </c>
      <c r="J13" s="21">
        <f>Geral!P15</f>
        <v>648386.09</v>
      </c>
      <c r="K13" s="21">
        <f>Geral!P18</f>
        <v>119605.1</v>
      </c>
      <c r="L13" s="21">
        <f>Geral!P19</f>
        <v>0</v>
      </c>
      <c r="M13" s="21">
        <f>Geral!P21</f>
        <v>197112.82</v>
      </c>
      <c r="N13" s="21">
        <f>Geral!P25</f>
        <v>3515413.37</v>
      </c>
      <c r="O13" s="21">
        <f>Geral!P26</f>
        <v>36527.839999999997</v>
      </c>
      <c r="P13" s="21">
        <f>Geral!P27</f>
        <v>568503.6</v>
      </c>
      <c r="Q13" s="21">
        <f>Geral!P28</f>
        <v>13643.35</v>
      </c>
      <c r="R13" s="21">
        <f>Geral!P29</f>
        <v>0</v>
      </c>
      <c r="S13" s="21">
        <f>Geral!P30</f>
        <v>1646.35</v>
      </c>
      <c r="T13" s="21">
        <f>Geral!P31</f>
        <v>0</v>
      </c>
      <c r="U13" s="21">
        <f>Geral!P32</f>
        <v>61228.7</v>
      </c>
      <c r="V13" s="21">
        <f>Geral!P33</f>
        <v>81715.460000000006</v>
      </c>
      <c r="W13" s="21">
        <f>Geral!P34</f>
        <v>53435.85</v>
      </c>
      <c r="X13" s="21">
        <f>Geral!P35</f>
        <v>19269.060000000001</v>
      </c>
      <c r="Y13" s="21">
        <f>Geral!P36</f>
        <v>252794.05</v>
      </c>
      <c r="Z13" s="21">
        <f>Geral!P41</f>
        <v>8493604.2699999996</v>
      </c>
      <c r="AA13" s="21">
        <f>Geral!P42</f>
        <v>1830091.02</v>
      </c>
      <c r="AB13" s="21">
        <f>Geral!P43</f>
        <v>0</v>
      </c>
      <c r="AC13" s="21">
        <f>Geral!P46</f>
        <v>66432177.799999997</v>
      </c>
      <c r="AD13" s="21">
        <f>Geral!P47</f>
        <v>22460356.690000001</v>
      </c>
      <c r="AE13" s="21">
        <f>Geral!P48</f>
        <v>0</v>
      </c>
      <c r="AF13" s="21">
        <f>Geral!P49</f>
        <v>100202.19</v>
      </c>
      <c r="AG13" s="21">
        <f>Geral!P50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Geral</vt:lpstr>
      <vt:lpstr>Financeiro</vt:lpstr>
      <vt:lpstr>Previdenciário</vt:lpstr>
      <vt:lpstr>Trimestral</vt:lpstr>
      <vt:lpstr>Gráfico Geral</vt:lpstr>
      <vt:lpstr>Gráfico Trimestral</vt:lpstr>
      <vt:lpstr>Dados</vt:lpstr>
      <vt:lpstr>Financeiro!Area_de_impressao</vt:lpstr>
      <vt:lpstr>Geral!Area_de_impressao</vt:lpstr>
      <vt:lpstr>'Gráfico Geral'!Area_de_impressao</vt:lpstr>
      <vt:lpstr>'Gráfico Trimestral'!Area_de_impressao</vt:lpstr>
      <vt:lpstr>Previdenciário!Area_de_impressao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prevbel</dc:creator>
  <cp:lastModifiedBy>Marta</cp:lastModifiedBy>
  <cp:lastPrinted>2020-02-04T17:57:36Z</cp:lastPrinted>
  <dcterms:created xsi:type="dcterms:W3CDTF">2016-02-16T16:19:14Z</dcterms:created>
  <dcterms:modified xsi:type="dcterms:W3CDTF">2020-02-18T14:25:58Z</dcterms:modified>
</cp:coreProperties>
</file>